
<file path=[Content_Types].xml><?xml version="1.0" encoding="utf-8"?>
<Types xmlns="http://schemas.openxmlformats.org/package/2006/content-types">
  <Default Extension="vml" ContentType="application/vnd.openxmlformats-officedocument.vmlDrawing"/>
  <Default Extension="docx" ContentType="application/vnd.openxmlformats-officedocument.wordprocessingml.document"/>
  <Default Extension="wmf" ContentType="image/x-wmf"/>
  <Default Extension="png" ContentType="image/png"/>
  <Default Extension="jpeg" ContentType="image/jpeg"/>
  <Default Extension="xml" ContentType="application/xml"/>
  <Default Extension="emf" ContentType="image/x-emf"/>
  <Default Extension="rels" ContentType="application/vnd.openxmlformats-package.relationships+xml"/>
  <Default Extension="bin" ContentType="application/vnd.openxmlformats-officedocument.oleObject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Roem" sheetId="1" state="visible" r:id="rId1"/>
    <sheet name="Cleebg" sheetId="2" state="visible" r:id="rId2"/>
    <sheet name="Soultz" sheetId="3" state="visible" r:id="rId3"/>
    <sheet name="Heatflow" sheetId="4" state="visible" r:id="rId4"/>
    <sheet name="Output-temperature" sheetId="5" state="visible" r:id="rId5"/>
    <sheet name="Recapd18" sheetId="6" state="visible" r:id="rId6"/>
    <sheet name="d18-A2783" sheetId="7" state="visible" r:id="rId7"/>
    <sheet name="d18-B2882" sheetId="8" state="visible" r:id="rId8"/>
    <sheet name="d18-D2537" sheetId="9" state="visible" r:id="rId9"/>
    <sheet name="d18-E2671" sheetId="10" state="visible" r:id="rId10"/>
    <sheet name="d18-F3225" sheetId="11" state="visible" r:id="rId11"/>
    <sheet name="Data_ArAr" sheetId="12" state="visible" r:id="rId12"/>
    <sheet name="d18-X009" sheetId="13" state="visible" r:id="rId13"/>
    <sheet name="d18-X024" sheetId="14" state="visible" r:id="rId14"/>
    <sheet name="d18-EPS1360" sheetId="15" state="visible" r:id="rId15"/>
    <sheet name="d18-B002" sheetId="16" state="visible" r:id="rId16"/>
    <sheet name="d18-K466" sheetId="17" state="visible" r:id="rId17"/>
  </sheets>
  <definedNames>
    <definedName name="Age">Data_ArAr!$AJ$2:$AJ$65536</definedName>
    <definedName name="Age_Er">Data_ArAr!$AK$2:$AK$65536</definedName>
    <definedName name="Ar39_">Data_ArAr!$L$2:$L$65536</definedName>
    <definedName name="Ar39_CumPct">Data_ArAr!$U:$U</definedName>
    <definedName name="Ar40Rad_Over_Ar39">Data_ArAr!$AG$2:$AG$65536</definedName>
    <definedName name="Ar40Rad_Over_Ar39_Er">Data_ArAr!$AH$2:$AH$65536</definedName>
    <definedName name="Ca_Over_K">Data_ArAr!$AA$2:$AA$65536</definedName>
    <definedName name="Ca_Over_K_Er">Data_ArAr!$AB$2:$AB$65536</definedName>
    <definedName name="SampleData_K308_2">Data_ArAr!$9:$63</definedName>
    <definedName name="SampleFormula_K308_2">Data_ArAr!$65:$65</definedName>
  </definedNames>
  <calcPr/>
</workbook>
</file>

<file path=xl/sharedStrings.xml><?xml version="1.0" encoding="utf-8"?>
<sst xmlns="http://schemas.openxmlformats.org/spreadsheetml/2006/main" count="1275" uniqueCount="1275">
  <si>
    <t xml:space="preserve">Age (Ma)</t>
  </si>
  <si>
    <t xml:space="preserve">Horizon name</t>
  </si>
  <si>
    <t>Depth(m)</t>
  </si>
  <si>
    <t xml:space="preserve">Thickness (m)</t>
  </si>
  <si>
    <t xml:space="preserve">Event -type</t>
  </si>
  <si>
    <t xml:space="preserve">Layer name</t>
  </si>
  <si>
    <t>Erosion</t>
  </si>
  <si>
    <t>Lithology</t>
  </si>
  <si>
    <t xml:space="preserve">PSE element</t>
  </si>
  <si>
    <t>0.00</t>
  </si>
  <si>
    <t>quaternary</t>
  </si>
  <si>
    <t>Deposition</t>
  </si>
  <si>
    <t xml:space="preserve">Sandstone (clay rich)</t>
  </si>
  <si>
    <t xml:space="preserve">Reservoir Rock</t>
  </si>
  <si>
    <t>2.50</t>
  </si>
  <si>
    <t>quaternary_1</t>
  </si>
  <si>
    <t>3.00</t>
  </si>
  <si>
    <t>quaternary_2</t>
  </si>
  <si>
    <t>5.00</t>
  </si>
  <si>
    <t xml:space="preserve">miocene erosion</t>
  </si>
  <si>
    <t>12.00</t>
  </si>
  <si>
    <t>neogene</t>
  </si>
  <si>
    <t xml:space="preserve">Shale (organic lean, sandy)</t>
  </si>
  <si>
    <t xml:space="preserve">Source Rock</t>
  </si>
  <si>
    <t>20.00</t>
  </si>
  <si>
    <t>neogene_1</t>
  </si>
  <si>
    <t>28.00</t>
  </si>
  <si>
    <t>neogene_2</t>
  </si>
  <si>
    <t>31.00</t>
  </si>
  <si>
    <t>paleogene</t>
  </si>
  <si>
    <t xml:space="preserve">Siltstone (organic rich, 2-3% TOC)</t>
  </si>
  <si>
    <t>33.00</t>
  </si>
  <si>
    <t>paleogene_1</t>
  </si>
  <si>
    <t>38.00</t>
  </si>
  <si>
    <t>paleogene_2</t>
  </si>
  <si>
    <t xml:space="preserve">Seal Rock</t>
  </si>
  <si>
    <t>55.00</t>
  </si>
  <si>
    <t xml:space="preserve">Hiatus Eocene</t>
  </si>
  <si>
    <t>latecretaceousandpaleocene</t>
  </si>
  <si>
    <t>90.00</t>
  </si>
  <si>
    <t xml:space="preserve">hiatus cretaceous</t>
  </si>
  <si>
    <t>Hiatus</t>
  </si>
  <si>
    <t>110.00</t>
  </si>
  <si>
    <t xml:space="preserve">missing Lower Cretaceous</t>
  </si>
  <si>
    <t xml:space="preserve">missing jura+cretaceous</t>
  </si>
  <si>
    <t xml:space="preserve">Limestone (micrite)</t>
  </si>
  <si>
    <t>130.00</t>
  </si>
  <si>
    <t>lowercretaceous</t>
  </si>
  <si>
    <t xml:space="preserve">missing lower cretaceous</t>
  </si>
  <si>
    <t xml:space="preserve">Overburden Rock</t>
  </si>
  <si>
    <t>150.00</t>
  </si>
  <si>
    <t xml:space="preserve">missing upper jurassic</t>
  </si>
  <si>
    <t xml:space="preserve">missing jurassic</t>
  </si>
  <si>
    <t xml:space="preserve">Dolomite (organic lean, silty)</t>
  </si>
  <si>
    <t>165.00</t>
  </si>
  <si>
    <t xml:space="preserve">jurassic rest</t>
  </si>
  <si>
    <t xml:space="preserve">missing jura</t>
  </si>
  <si>
    <t>180.00</t>
  </si>
  <si>
    <t xml:space="preserve">toarcian source rock</t>
  </si>
  <si>
    <t xml:space="preserve">mssing sr</t>
  </si>
  <si>
    <t xml:space="preserve">Shale (organic rich, 8% TOC)</t>
  </si>
  <si>
    <t>182.00</t>
  </si>
  <si>
    <t>lowerjura</t>
  </si>
  <si>
    <t xml:space="preserve">missing lowerjura</t>
  </si>
  <si>
    <t xml:space="preserve">Limestone (organic rich - 1-2% TOC)</t>
  </si>
  <si>
    <t>205.00</t>
  </si>
  <si>
    <t>keuper_3</t>
  </si>
  <si>
    <t>keuper</t>
  </si>
  <si>
    <t xml:space="preserve">Sandstone (subarkose, dolomite rich)</t>
  </si>
  <si>
    <t>218.00</t>
  </si>
  <si>
    <t xml:space="preserve">Norian erosion</t>
  </si>
  <si>
    <t xml:space="preserve">norian erosion</t>
  </si>
  <si>
    <t>220.67</t>
  </si>
  <si>
    <t>keuper_1</t>
  </si>
  <si>
    <t>225.33</t>
  </si>
  <si>
    <t>keuper_2</t>
  </si>
  <si>
    <t>230.00</t>
  </si>
  <si>
    <t>musch</t>
  </si>
  <si>
    <t xml:space="preserve">Dolomite (organic lean, sandy)</t>
  </si>
  <si>
    <t>235.00</t>
  </si>
  <si>
    <t>musch_1</t>
  </si>
  <si>
    <t>240.00</t>
  </si>
  <si>
    <t>musch_2</t>
  </si>
  <si>
    <t>245.00</t>
  </si>
  <si>
    <t>bunt</t>
  </si>
  <si>
    <t xml:space="preserve">Sandstone (clay poor)</t>
  </si>
  <si>
    <t>247.67</t>
  </si>
  <si>
    <t>bunt_1</t>
  </si>
  <si>
    <t>250.33</t>
  </si>
  <si>
    <t>bunt_2</t>
  </si>
  <si>
    <t>253.00</t>
  </si>
  <si>
    <t>Base</t>
  </si>
  <si>
    <t>30.30</t>
  </si>
  <si>
    <t>32.00</t>
  </si>
  <si>
    <t>33.90</t>
  </si>
  <si>
    <t>Age</t>
  </si>
  <si>
    <t>Heatflow</t>
  </si>
  <si>
    <t xml:space="preserve">Output_Burial models</t>
  </si>
  <si>
    <t xml:space="preserve">Model     : Roem</t>
  </si>
  <si>
    <t xml:space="preserve">Model     : Soultz</t>
  </si>
  <si>
    <t xml:space="preserve">Model     : Cleebourg</t>
  </si>
  <si>
    <t xml:space="preserve">(Sub)layer: bunt_2</t>
  </si>
  <si>
    <t xml:space="preserve">      </t>
  </si>
  <si>
    <t>Temperature</t>
  </si>
  <si>
    <t xml:space="preserve">  Time</t>
  </si>
  <si>
    <t xml:space="preserve">  Temperature</t>
  </si>
  <si>
    <t>Ma[Ma]</t>
  </si>
  <si>
    <t xml:space="preserve">  Celsius[°C]</t>
  </si>
  <si>
    <t xml:space="preserve">  0.00</t>
  </si>
  <si>
    <t xml:space="preserve">       167.04</t>
  </si>
  <si>
    <t xml:space="preserve">        93.49</t>
  </si>
  <si>
    <t xml:space="preserve">        25.65</t>
  </si>
  <si>
    <t xml:space="preserve">  2.00</t>
  </si>
  <si>
    <t xml:space="preserve">       168.17</t>
  </si>
  <si>
    <t xml:space="preserve">        93.63</t>
  </si>
  <si>
    <t xml:space="preserve">  2.50</t>
  </si>
  <si>
    <t xml:space="preserve">       168.46</t>
  </si>
  <si>
    <t xml:space="preserve">        93.34</t>
  </si>
  <si>
    <t xml:space="preserve">  3.00</t>
  </si>
  <si>
    <t xml:space="preserve">       168.42</t>
  </si>
  <si>
    <t xml:space="preserve">        92.70</t>
  </si>
  <si>
    <t xml:space="preserve">  3.38</t>
  </si>
  <si>
    <t xml:space="preserve">       168.56</t>
  </si>
  <si>
    <t xml:space="preserve">  5.00</t>
  </si>
  <si>
    <t xml:space="preserve">        92.77</t>
  </si>
  <si>
    <t xml:space="preserve">        25.66</t>
  </si>
  <si>
    <t xml:space="preserve">       169.50</t>
  </si>
  <si>
    <t xml:space="preserve"> 12.00</t>
  </si>
  <si>
    <t xml:space="preserve">        95.42</t>
  </si>
  <si>
    <t xml:space="preserve">        45.69</t>
  </si>
  <si>
    <t xml:space="preserve">  9.14</t>
  </si>
  <si>
    <t xml:space="preserve">       174.48</t>
  </si>
  <si>
    <t xml:space="preserve"> 17.00</t>
  </si>
  <si>
    <t xml:space="preserve">        94.72</t>
  </si>
  <si>
    <t xml:space="preserve">        45.21</t>
  </si>
  <si>
    <t xml:space="preserve">       183.21</t>
  </si>
  <si>
    <t xml:space="preserve"> 20.00</t>
  </si>
  <si>
    <t xml:space="preserve">        94.31</t>
  </si>
  <si>
    <t xml:space="preserve">        44.91</t>
  </si>
  <si>
    <t xml:space="preserve"> 13.60</t>
  </si>
  <si>
    <t xml:space="preserve">       184.53</t>
  </si>
  <si>
    <t xml:space="preserve"> 23.00</t>
  </si>
  <si>
    <t xml:space="preserve">        94.27</t>
  </si>
  <si>
    <t xml:space="preserve">        44.30</t>
  </si>
  <si>
    <t xml:space="preserve">       181.84</t>
  </si>
  <si>
    <t xml:space="preserve"> 30.30</t>
  </si>
  <si>
    <t xml:space="preserve">        92.69</t>
  </si>
  <si>
    <t xml:space="preserve">        42.71</t>
  </si>
  <si>
    <t xml:space="preserve">       178.93</t>
  </si>
  <si>
    <t xml:space="preserve"> 32.00</t>
  </si>
  <si>
    <t xml:space="preserve">        77.49</t>
  </si>
  <si>
    <t xml:space="preserve">        39.67</t>
  </si>
  <si>
    <t xml:space="preserve">       176.80</t>
  </si>
  <si>
    <t xml:space="preserve"> 33.90</t>
  </si>
  <si>
    <t xml:space="preserve">        67.06</t>
  </si>
  <si>
    <t xml:space="preserve">        36.64</t>
  </si>
  <si>
    <t xml:space="preserve"> 25.00</t>
  </si>
  <si>
    <t xml:space="preserve">       174.94</t>
  </si>
  <si>
    <t xml:space="preserve"> 38.00</t>
  </si>
  <si>
    <t xml:space="preserve">        57.46</t>
  </si>
  <si>
    <t xml:space="preserve">        34.30</t>
  </si>
  <si>
    <t xml:space="preserve"> 25.56</t>
  </si>
  <si>
    <t xml:space="preserve">       174.04</t>
  </si>
  <si>
    <t xml:space="preserve"> 40.00</t>
  </si>
  <si>
    <t xml:space="preserve">        56.09</t>
  </si>
  <si>
    <t xml:space="preserve">        34.01</t>
  </si>
  <si>
    <t xml:space="preserve"> 28.00</t>
  </si>
  <si>
    <t xml:space="preserve">       166.62</t>
  </si>
  <si>
    <t xml:space="preserve"> 55.00</t>
  </si>
  <si>
    <t xml:space="preserve">        44.70</t>
  </si>
  <si>
    <t xml:space="preserve">        31.79</t>
  </si>
  <si>
    <t xml:space="preserve"> 31.00</t>
  </si>
  <si>
    <t xml:space="preserve">       123.80</t>
  </si>
  <si>
    <t xml:space="preserve"> 90.00</t>
  </si>
  <si>
    <t xml:space="preserve">        85.20</t>
  </si>
  <si>
    <t xml:space="preserve">        70.71</t>
  </si>
  <si>
    <t xml:space="preserve"> 33.00</t>
  </si>
  <si>
    <t xml:space="preserve">       110.67</t>
  </si>
  <si>
    <t xml:space="preserve"> 93.00</t>
  </si>
  <si>
    <t xml:space="preserve">        95.78</t>
  </si>
  <si>
    <t xml:space="preserve">        85.15</t>
  </si>
  <si>
    <t xml:space="preserve">        70.67</t>
  </si>
  <si>
    <t xml:space="preserve">        91.45</t>
  </si>
  <si>
    <t xml:space="preserve">        80.41</t>
  </si>
  <si>
    <t xml:space="preserve">        65.59</t>
  </si>
  <si>
    <t xml:space="preserve"> 40.59</t>
  </si>
  <si>
    <t xml:space="preserve">        90.09</t>
  </si>
  <si>
    <t xml:space="preserve">        74.41</t>
  </si>
  <si>
    <t xml:space="preserve">        59.28</t>
  </si>
  <si>
    <t xml:space="preserve"> 50.36</t>
  </si>
  <si>
    <t xml:space="preserve">        63.26</t>
  </si>
  <si>
    <t xml:space="preserve">        69.72</t>
  </si>
  <si>
    <t xml:space="preserve">        52.77</t>
  </si>
  <si>
    <t xml:space="preserve">        48.22</t>
  </si>
  <si>
    <t xml:space="preserve">        57.22</t>
  </si>
  <si>
    <t xml:space="preserve">        36.25</t>
  </si>
  <si>
    <t xml:space="preserve"> 64.64</t>
  </si>
  <si>
    <t xml:space="preserve">        67.75</t>
  </si>
  <si>
    <t xml:space="preserve">        48.34</t>
  </si>
  <si>
    <t xml:space="preserve"> 72.50</t>
  </si>
  <si>
    <t xml:space="preserve">        81.33</t>
  </si>
  <si>
    <t>200.00</t>
  </si>
  <si>
    <t xml:space="preserve">        42.91</t>
  </si>
  <si>
    <t xml:space="preserve"> 84.09</t>
  </si>
  <si>
    <t xml:space="preserve">       103.70</t>
  </si>
  <si>
    <t xml:space="preserve">        41.08</t>
  </si>
  <si>
    <t xml:space="preserve">       117.60</t>
  </si>
  <si>
    <t xml:space="preserve">        40.71</t>
  </si>
  <si>
    <t xml:space="preserve">        36.26</t>
  </si>
  <si>
    <t xml:space="preserve">       117.50</t>
  </si>
  <si>
    <t xml:space="preserve">        42.49</t>
  </si>
  <si>
    <t xml:space="preserve">        38.64</t>
  </si>
  <si>
    <t xml:space="preserve"> 94.48</t>
  </si>
  <si>
    <t xml:space="preserve">       117.27</t>
  </si>
  <si>
    <t xml:space="preserve">        35.98</t>
  </si>
  <si>
    <t xml:space="preserve">        33.78</t>
  </si>
  <si>
    <t xml:space="preserve">       115.77</t>
  </si>
  <si>
    <t xml:space="preserve">        34.58</t>
  </si>
  <si>
    <t xml:space="preserve">        32.44</t>
  </si>
  <si>
    <t>119.07</t>
  </si>
  <si>
    <t xml:space="preserve">       112.30</t>
  </si>
  <si>
    <t xml:space="preserve">        33.92</t>
  </si>
  <si>
    <t xml:space="preserve">        31.81</t>
  </si>
  <si>
    <t xml:space="preserve">       109.46</t>
  </si>
  <si>
    <t xml:space="preserve">        32.60</t>
  </si>
  <si>
    <t xml:space="preserve">        30.52</t>
  </si>
  <si>
    <t xml:space="preserve">       102.36</t>
  </si>
  <si>
    <t xml:space="preserve">        31.25</t>
  </si>
  <si>
    <t xml:space="preserve">        29.21</t>
  </si>
  <si>
    <t xml:space="preserve">        97.22</t>
  </si>
  <si>
    <t xml:space="preserve">        29.17</t>
  </si>
  <si>
    <t xml:space="preserve">        28.55</t>
  </si>
  <si>
    <t>167.21</t>
  </si>
  <si>
    <t xml:space="preserve">        95.06</t>
  </si>
  <si>
    <t xml:space="preserve">        20.83</t>
  </si>
  <si>
    <t xml:space="preserve">        20.77</t>
  </si>
  <si>
    <t xml:space="preserve">        86.70</t>
  </si>
  <si>
    <t>252.15</t>
  </si>
  <si>
    <t xml:space="preserve">        20.27</t>
  </si>
  <si>
    <t xml:space="preserve">        20.25</t>
  </si>
  <si>
    <t>181.99</t>
  </si>
  <si>
    <t xml:space="preserve">        81.10</t>
  </si>
  <si>
    <t xml:space="preserve">        20.00</t>
  </si>
  <si>
    <t xml:space="preserve">        81.08</t>
  </si>
  <si>
    <t>194.23</t>
  </si>
  <si>
    <t xml:space="preserve">        66.61</t>
  </si>
  <si>
    <t xml:space="preserve">        56.26</t>
  </si>
  <si>
    <t xml:space="preserve">        45.54</t>
  </si>
  <si>
    <t xml:space="preserve">        48.11</t>
  </si>
  <si>
    <t>221.65</t>
  </si>
  <si>
    <t xml:space="preserve">        47.67</t>
  </si>
  <si>
    <t xml:space="preserve">        46.06</t>
  </si>
  <si>
    <t xml:space="preserve">        41.12</t>
  </si>
  <si>
    <t xml:space="preserve">        39.79</t>
  </si>
  <si>
    <t xml:space="preserve">        37.63</t>
  </si>
  <si>
    <t xml:space="preserve">        35.48</t>
  </si>
  <si>
    <t xml:space="preserve">        32.72</t>
  </si>
  <si>
    <t>249.55</t>
  </si>
  <si>
    <t xml:space="preserve">        25.38</t>
  </si>
  <si>
    <t xml:space="preserve">        22.09</t>
  </si>
  <si>
    <t xml:space="preserve">        21.28</t>
  </si>
  <si>
    <t xml:space="preserve">        20.95</t>
  </si>
  <si>
    <t xml:space="preserve">Sample ID</t>
  </si>
  <si>
    <t>Location</t>
  </si>
  <si>
    <t>Stratigraphy</t>
  </si>
  <si>
    <t xml:space="preserve">Quartz type</t>
  </si>
  <si>
    <t>n</t>
  </si>
  <si>
    <t xml:space="preserve">$\delta^{18}O$ Min</t>
  </si>
  <si>
    <t xml:space="preserve">$\delta^{18}O$ Mean</t>
  </si>
  <si>
    <t xml:space="preserve">$\delta^{18}O$ Max</t>
  </si>
  <si>
    <t>\sigma</t>
  </si>
  <si>
    <t>A-2783</t>
  </si>
  <si>
    <t>Roemerberg</t>
  </si>
  <si>
    <t xml:space="preserve">Upper Buntsandstein</t>
  </si>
  <si>
    <t>Detrital</t>
  </si>
  <si>
    <t>Overgrowth</t>
  </si>
  <si>
    <t>B-2882</t>
  </si>
  <si>
    <t xml:space="preserve">Middle Buntsandstein</t>
  </si>
  <si>
    <t>D-2537</t>
  </si>
  <si>
    <t>E-2671</t>
  </si>
  <si>
    <t>F-3225</t>
  </si>
  <si>
    <t>EPS11360</t>
  </si>
  <si>
    <t>Soultz-ss-forêts</t>
  </si>
  <si>
    <t>K466</t>
  </si>
  <si>
    <t>Cleebourg</t>
  </si>
  <si>
    <t xml:space="preserve">Lower Buntsandstein</t>
  </si>
  <si>
    <t>X009</t>
  </si>
  <si>
    <t>Marlenheim</t>
  </si>
  <si>
    <t>Kobus</t>
  </si>
  <si>
    <t>X024</t>
  </si>
  <si>
    <t xml:space="preserve">Rocher du Lion</t>
  </si>
  <si>
    <t>B002</t>
  </si>
  <si>
    <t>Reichenberg</t>
  </si>
  <si>
    <t xml:space="preserve">Analysis Name</t>
  </si>
  <si>
    <t>number</t>
  </si>
  <si>
    <t>distance</t>
  </si>
  <si>
    <t>ratio</t>
  </si>
  <si>
    <t>Property</t>
  </si>
  <si>
    <t>d18O</t>
  </si>
  <si>
    <t>Error</t>
  </si>
  <si>
    <t>depth</t>
  </si>
  <si>
    <t>debut</t>
  </si>
  <si>
    <t>fin</t>
  </si>
  <si>
    <t>DeltaO</t>
  </si>
  <si>
    <t>Dq</t>
  </si>
  <si>
    <t>Oq</t>
  </si>
  <si>
    <t>error</t>
  </si>
  <si>
    <t>Min</t>
  </si>
  <si>
    <t>Mean</t>
  </si>
  <si>
    <t>Max</t>
  </si>
  <si>
    <t>t</t>
  </si>
  <si>
    <t>A2783@1</t>
  </si>
  <si>
    <t>A2783@2</t>
  </si>
  <si>
    <t>A2783@3</t>
  </si>
  <si>
    <t>A2783@4</t>
  </si>
  <si>
    <t>A2783@5</t>
  </si>
  <si>
    <t>A2783@6</t>
  </si>
  <si>
    <t>A2783@7</t>
  </si>
  <si>
    <t>A2783@8</t>
  </si>
  <si>
    <t>A2783@9</t>
  </si>
  <si>
    <t>A2783@10</t>
  </si>
  <si>
    <t>A2783@11</t>
  </si>
  <si>
    <t>A2783@12</t>
  </si>
  <si>
    <t>A2783@13</t>
  </si>
  <si>
    <t>A2783@14</t>
  </si>
  <si>
    <t>A2783@15</t>
  </si>
  <si>
    <t>A2783@16</t>
  </si>
  <si>
    <t>A2783@17</t>
  </si>
  <si>
    <t>A2783@18</t>
  </si>
  <si>
    <t>A2783@19</t>
  </si>
  <si>
    <t>A2783@20</t>
  </si>
  <si>
    <t>A2783@21</t>
  </si>
  <si>
    <t>A2783@22</t>
  </si>
  <si>
    <t>numero</t>
  </si>
  <si>
    <t xml:space="preserve">distance to grain</t>
  </si>
  <si>
    <t xml:space="preserve">d 18O /16O </t>
  </si>
  <si>
    <t>DEPTH</t>
  </si>
  <si>
    <t>R12882@1</t>
  </si>
  <si>
    <t>R12882@2</t>
  </si>
  <si>
    <t>R12882@3</t>
  </si>
  <si>
    <t>R12882@4</t>
  </si>
  <si>
    <t>R12882@5</t>
  </si>
  <si>
    <t>R12882@6</t>
  </si>
  <si>
    <t>R12882@7</t>
  </si>
  <si>
    <t>R12882@8</t>
  </si>
  <si>
    <t>R12882@9</t>
  </si>
  <si>
    <t>R12882@10</t>
  </si>
  <si>
    <t>R12882@11</t>
  </si>
  <si>
    <t>R12882@12</t>
  </si>
  <si>
    <t>R12882@13</t>
  </si>
  <si>
    <t>R12882@14</t>
  </si>
  <si>
    <t>R12882@15</t>
  </si>
  <si>
    <t>R12882@16</t>
  </si>
  <si>
    <t>R12882@17</t>
  </si>
  <si>
    <t>R12882@18</t>
  </si>
  <si>
    <t>R12882@19</t>
  </si>
  <si>
    <t>R12882@20</t>
  </si>
  <si>
    <t>R12882@21</t>
  </si>
  <si>
    <t>R12882@22</t>
  </si>
  <si>
    <t>R12882@23</t>
  </si>
  <si>
    <t>R12882@24</t>
  </si>
  <si>
    <t>R12882@25</t>
  </si>
  <si>
    <t>R12882@26</t>
  </si>
  <si>
    <t>R12882@27</t>
  </si>
  <si>
    <t>R12882@28</t>
  </si>
  <si>
    <t>R12882@29</t>
  </si>
  <si>
    <t>R12882@30</t>
  </si>
  <si>
    <t>R12882@31</t>
  </si>
  <si>
    <t>R12882@32</t>
  </si>
  <si>
    <t>R12882@33</t>
  </si>
  <si>
    <t>R12882@34</t>
  </si>
  <si>
    <t>R12882@35</t>
  </si>
  <si>
    <t>R12882@36</t>
  </si>
  <si>
    <t>R12882@37</t>
  </si>
  <si>
    <t>R12882@38</t>
  </si>
  <si>
    <t>R12882@39</t>
  </si>
  <si>
    <t>R12882@40</t>
  </si>
  <si>
    <t>R12882@41</t>
  </si>
  <si>
    <t>R12882@42</t>
  </si>
  <si>
    <t>R12882@43</t>
  </si>
  <si>
    <t>R12882@44</t>
  </si>
  <si>
    <t>R12882@45</t>
  </si>
  <si>
    <t>R12882@46</t>
  </si>
  <si>
    <t>R12882@47</t>
  </si>
  <si>
    <t>R12882@48</t>
  </si>
  <si>
    <t>R12882@49</t>
  </si>
  <si>
    <t>R12882@50</t>
  </si>
  <si>
    <t>R12882@51</t>
  </si>
  <si>
    <t>R12882@52</t>
  </si>
  <si>
    <t>R12882@53</t>
  </si>
  <si>
    <t>R12882@54</t>
  </si>
  <si>
    <t>R12882@55</t>
  </si>
  <si>
    <t>R12882@56</t>
  </si>
  <si>
    <t>R12882@57</t>
  </si>
  <si>
    <t>R12882@58</t>
  </si>
  <si>
    <t>R12882@59</t>
  </si>
  <si>
    <t>R12882@60</t>
  </si>
  <si>
    <t>R12882@61</t>
  </si>
  <si>
    <t>R12882@62</t>
  </si>
  <si>
    <t>R12882@63</t>
  </si>
  <si>
    <t>R12882@64</t>
  </si>
  <si>
    <t>R12882@65</t>
  </si>
  <si>
    <t>R12882@66</t>
  </si>
  <si>
    <t>R12882@67</t>
  </si>
  <si>
    <t>R12882@68</t>
  </si>
  <si>
    <t>R12882@69</t>
  </si>
  <si>
    <t>R12882@70</t>
  </si>
  <si>
    <t>R12882@71</t>
  </si>
  <si>
    <t>R12882@72</t>
  </si>
  <si>
    <t>R12882@73</t>
  </si>
  <si>
    <t>R12882@74</t>
  </si>
  <si>
    <t>R12882@75</t>
  </si>
  <si>
    <t>R12882@76</t>
  </si>
  <si>
    <t>R12882@77</t>
  </si>
  <si>
    <t>R12882@78</t>
  </si>
  <si>
    <t>R12882@79</t>
  </si>
  <si>
    <t>R12882@80</t>
  </si>
  <si>
    <t>R12882@81</t>
  </si>
  <si>
    <t>R12882@82</t>
  </si>
  <si>
    <t>R12882@83</t>
  </si>
  <si>
    <t>R12882@84</t>
  </si>
  <si>
    <t>R12882@85</t>
  </si>
  <si>
    <t>R12882@86</t>
  </si>
  <si>
    <t>R12882@87</t>
  </si>
  <si>
    <t>R12882@88</t>
  </si>
  <si>
    <t>R12882@89</t>
  </si>
  <si>
    <t>R12882@90</t>
  </si>
  <si>
    <t>R12882@91</t>
  </si>
  <si>
    <t>R12882@92</t>
  </si>
  <si>
    <t>R12882@93</t>
  </si>
  <si>
    <t>R12882@94</t>
  </si>
  <si>
    <t>R12882@95</t>
  </si>
  <si>
    <t>R12882@96</t>
  </si>
  <si>
    <t>R12882@97</t>
  </si>
  <si>
    <t>R12882@98</t>
  </si>
  <si>
    <t>R12882@99</t>
  </si>
  <si>
    <t>R12882@100</t>
  </si>
  <si>
    <t>R12882@101</t>
  </si>
  <si>
    <t>R12882@102</t>
  </si>
  <si>
    <t>R12882@103</t>
  </si>
  <si>
    <t>R12882@104</t>
  </si>
  <si>
    <t>R12882@105</t>
  </si>
  <si>
    <t>R12882@106</t>
  </si>
  <si>
    <t>R12882@107</t>
  </si>
  <si>
    <t>R12882@108</t>
  </si>
  <si>
    <t>R12882@109</t>
  </si>
  <si>
    <t>R12882@110</t>
  </si>
  <si>
    <t>R12882@111</t>
  </si>
  <si>
    <t>R12882@112</t>
  </si>
  <si>
    <t>R12882@113</t>
  </si>
  <si>
    <t>R12882@114</t>
  </si>
  <si>
    <t>R12882@115</t>
  </si>
  <si>
    <t>R12882@116</t>
  </si>
  <si>
    <t>R12882@117</t>
  </si>
  <si>
    <t>R12882@118</t>
  </si>
  <si>
    <t>R12882@119</t>
  </si>
  <si>
    <t>R12882@120</t>
  </si>
  <si>
    <t>R12882@121</t>
  </si>
  <si>
    <t>R12882@122</t>
  </si>
  <si>
    <t>R12882@123</t>
  </si>
  <si>
    <t>R12882@124</t>
  </si>
  <si>
    <t>R12882@125</t>
  </si>
  <si>
    <t>property</t>
  </si>
  <si>
    <t>T</t>
  </si>
  <si>
    <t>D2537@1</t>
  </si>
  <si>
    <t>D2537@2</t>
  </si>
  <si>
    <t>D2537@3</t>
  </si>
  <si>
    <t>D2537@4</t>
  </si>
  <si>
    <t>D2537@5</t>
  </si>
  <si>
    <t>D2537@6</t>
  </si>
  <si>
    <t>D2537@7</t>
  </si>
  <si>
    <t>D2537@8</t>
  </si>
  <si>
    <t>D2537@9</t>
  </si>
  <si>
    <t>D2537@10</t>
  </si>
  <si>
    <t>D2537@11</t>
  </si>
  <si>
    <t>D2537@12</t>
  </si>
  <si>
    <t>D2537@13</t>
  </si>
  <si>
    <t>D2537@14</t>
  </si>
  <si>
    <t>D2537@15</t>
  </si>
  <si>
    <t>D2537@16</t>
  </si>
  <si>
    <t>D2537@17</t>
  </si>
  <si>
    <t>D2537@18</t>
  </si>
  <si>
    <t>D2537@19</t>
  </si>
  <si>
    <t>D2537@20</t>
  </si>
  <si>
    <t>D2537@21</t>
  </si>
  <si>
    <t>D2537@22</t>
  </si>
  <si>
    <t>D2537@23</t>
  </si>
  <si>
    <t>D2537@24</t>
  </si>
  <si>
    <t>D2537@25</t>
  </si>
  <si>
    <t>D2537@26</t>
  </si>
  <si>
    <t>D2537@27</t>
  </si>
  <si>
    <t>D2537@28</t>
  </si>
  <si>
    <t>D2537@29</t>
  </si>
  <si>
    <t>D2537@30</t>
  </si>
  <si>
    <t>D2537@31</t>
  </si>
  <si>
    <t>D2537@32</t>
  </si>
  <si>
    <t>D2537@33</t>
  </si>
  <si>
    <t>D2537@34</t>
  </si>
  <si>
    <t>D2537@35</t>
  </si>
  <si>
    <t>D2537@36</t>
  </si>
  <si>
    <t>D2537@37</t>
  </si>
  <si>
    <t>D2537@38</t>
  </si>
  <si>
    <t>D2537@39</t>
  </si>
  <si>
    <t>D2537@40</t>
  </si>
  <si>
    <t>D2537@41</t>
  </si>
  <si>
    <t>D2537@42</t>
  </si>
  <si>
    <t>D2537@43</t>
  </si>
  <si>
    <t>D2537@44</t>
  </si>
  <si>
    <t>D2537@45</t>
  </si>
  <si>
    <t>D2537@46</t>
  </si>
  <si>
    <t>D2537@47</t>
  </si>
  <si>
    <t>D2537@48</t>
  </si>
  <si>
    <t>D2537@49</t>
  </si>
  <si>
    <t>D2537@50</t>
  </si>
  <si>
    <t>D2537@51</t>
  </si>
  <si>
    <t>D2537@52</t>
  </si>
  <si>
    <t>D2537@53</t>
  </si>
  <si>
    <t>D2537@54</t>
  </si>
  <si>
    <t>D2537@55</t>
  </si>
  <si>
    <t>D2537@56</t>
  </si>
  <si>
    <t>D2537@57</t>
  </si>
  <si>
    <t>D2537@58</t>
  </si>
  <si>
    <t>D2537@59</t>
  </si>
  <si>
    <t>D2537@60</t>
  </si>
  <si>
    <t>D2537@61</t>
  </si>
  <si>
    <t>D2537@62</t>
  </si>
  <si>
    <t>D2537@63</t>
  </si>
  <si>
    <t>D2537@64</t>
  </si>
  <si>
    <t>D2537@65</t>
  </si>
  <si>
    <t>D2537@66</t>
  </si>
  <si>
    <t>D2537@67</t>
  </si>
  <si>
    <t>D2537@68</t>
  </si>
  <si>
    <t>D2537@69</t>
  </si>
  <si>
    <t>D2537@70</t>
  </si>
  <si>
    <t>D2537@71</t>
  </si>
  <si>
    <t>D2537@72</t>
  </si>
  <si>
    <t>D2537@73</t>
  </si>
  <si>
    <t>D2537@74</t>
  </si>
  <si>
    <t>D2537@75</t>
  </si>
  <si>
    <t>D2537@76</t>
  </si>
  <si>
    <t>D2537@77</t>
  </si>
  <si>
    <t>D2537@78</t>
  </si>
  <si>
    <t>D2537@79</t>
  </si>
  <si>
    <t>D2537@80</t>
  </si>
  <si>
    <t>D2537@81</t>
  </si>
  <si>
    <t>D2537@82</t>
  </si>
  <si>
    <t>D2537@83</t>
  </si>
  <si>
    <t>D2537@84</t>
  </si>
  <si>
    <t>D2537@85</t>
  </si>
  <si>
    <t>D2537@86</t>
  </si>
  <si>
    <t>D2537@87</t>
  </si>
  <si>
    <t>D2537@88</t>
  </si>
  <si>
    <t>D2537@89</t>
  </si>
  <si>
    <t>D2537@90</t>
  </si>
  <si>
    <t>D2537@91</t>
  </si>
  <si>
    <t>D2537@92</t>
  </si>
  <si>
    <t>D2537@93</t>
  </si>
  <si>
    <t>D2537@94</t>
  </si>
  <si>
    <t>D2537@95</t>
  </si>
  <si>
    <t>D2537@96</t>
  </si>
  <si>
    <t>D2537@97</t>
  </si>
  <si>
    <t>D2537@98</t>
  </si>
  <si>
    <t>D2537@99</t>
  </si>
  <si>
    <t>D2537@100</t>
  </si>
  <si>
    <t>D2537@101</t>
  </si>
  <si>
    <t>D2537@102</t>
  </si>
  <si>
    <t>D2537@103</t>
  </si>
  <si>
    <t>D2537@104</t>
  </si>
  <si>
    <t>D2537@105</t>
  </si>
  <si>
    <t>D2537@106</t>
  </si>
  <si>
    <t>D2537@107</t>
  </si>
  <si>
    <t>D2537@108</t>
  </si>
  <si>
    <t>D2537@109</t>
  </si>
  <si>
    <t>D2537@110</t>
  </si>
  <si>
    <t>D2537@111</t>
  </si>
  <si>
    <t>D2537@112</t>
  </si>
  <si>
    <t>D2537@113</t>
  </si>
  <si>
    <t>D2537@114</t>
  </si>
  <si>
    <t>D2537@115</t>
  </si>
  <si>
    <t>D2537@116</t>
  </si>
  <si>
    <t>D2537@117</t>
  </si>
  <si>
    <t>D2537@118</t>
  </si>
  <si>
    <t>D2537@119</t>
  </si>
  <si>
    <t>D2537@120</t>
  </si>
  <si>
    <t>D2537@121</t>
  </si>
  <si>
    <t>E2671@1</t>
  </si>
  <si>
    <t>E2671@2</t>
  </si>
  <si>
    <t>E2671@3</t>
  </si>
  <si>
    <t>E2671@4</t>
  </si>
  <si>
    <t>E2671@5</t>
  </si>
  <si>
    <t>E2671@6</t>
  </si>
  <si>
    <t>E2671@7</t>
  </si>
  <si>
    <t>E2671@8</t>
  </si>
  <si>
    <t>E2671@9</t>
  </si>
  <si>
    <t>E2671@10</t>
  </si>
  <si>
    <t>E2671@11</t>
  </si>
  <si>
    <t>E2671@12</t>
  </si>
  <si>
    <t>E2671@13</t>
  </si>
  <si>
    <t>E2671@14</t>
  </si>
  <si>
    <t>E2671@15</t>
  </si>
  <si>
    <t>E2671@16</t>
  </si>
  <si>
    <t>E2671@17</t>
  </si>
  <si>
    <t>E2671@18</t>
  </si>
  <si>
    <t>E2671@19</t>
  </si>
  <si>
    <t>E2671@20</t>
  </si>
  <si>
    <t>E2671@21</t>
  </si>
  <si>
    <t xml:space="preserve">analysis number</t>
  </si>
  <si>
    <t xml:space="preserve">distance to dq</t>
  </si>
  <si>
    <t xml:space="preserve">depth max</t>
  </si>
  <si>
    <t>F3225@1</t>
  </si>
  <si>
    <t>F3225@3</t>
  </si>
  <si>
    <t>F3225@4</t>
  </si>
  <si>
    <t>F3225@5</t>
  </si>
  <si>
    <t>F3225@6</t>
  </si>
  <si>
    <t>F3225@7</t>
  </si>
  <si>
    <t>F3225@8</t>
  </si>
  <si>
    <t>F3225@9</t>
  </si>
  <si>
    <t>F3225@10</t>
  </si>
  <si>
    <t>F3225@11</t>
  </si>
  <si>
    <t>F3225@12</t>
  </si>
  <si>
    <t>F3225@13</t>
  </si>
  <si>
    <t>F3225@14</t>
  </si>
  <si>
    <t>F3225@15</t>
  </si>
  <si>
    <t>F3225@16</t>
  </si>
  <si>
    <t>F3225@17</t>
  </si>
  <si>
    <t>F3225@18</t>
  </si>
  <si>
    <t>F3225@19</t>
  </si>
  <si>
    <t>F3225@20</t>
  </si>
  <si>
    <t>F3225@21</t>
  </si>
  <si>
    <t>F3225@22</t>
  </si>
  <si>
    <t>F3225@23</t>
  </si>
  <si>
    <t>F3225@24</t>
  </si>
  <si>
    <t>F3225@25</t>
  </si>
  <si>
    <t>F3225@26</t>
  </si>
  <si>
    <t>F3225@27</t>
  </si>
  <si>
    <t>F3225@28</t>
  </si>
  <si>
    <t>F3225@29</t>
  </si>
  <si>
    <t>F3225@30</t>
  </si>
  <si>
    <t>F3225@31</t>
  </si>
  <si>
    <t>F3225@32</t>
  </si>
  <si>
    <t>F3225@33</t>
  </si>
  <si>
    <t>F3225@34</t>
  </si>
  <si>
    <t>F3225@35</t>
  </si>
  <si>
    <t>F3225@36</t>
  </si>
  <si>
    <t>F3225@37</t>
  </si>
  <si>
    <t>F3225@38</t>
  </si>
  <si>
    <t>F3225@39</t>
  </si>
  <si>
    <t>F3225@40</t>
  </si>
  <si>
    <t>F3225@41</t>
  </si>
  <si>
    <t>F3225@42</t>
  </si>
  <si>
    <t>F3225@43</t>
  </si>
  <si>
    <t>F3225@44</t>
  </si>
  <si>
    <t>F3225@45</t>
  </si>
  <si>
    <t>F3225@46</t>
  </si>
  <si>
    <t>F3225@47</t>
  </si>
  <si>
    <t>F3225@48</t>
  </si>
  <si>
    <t>F3225@49</t>
  </si>
  <si>
    <t>F3225@50</t>
  </si>
  <si>
    <t>F3225@51</t>
  </si>
  <si>
    <t>F3225@52</t>
  </si>
  <si>
    <t>F3225@53</t>
  </si>
  <si>
    <t>F3225@54</t>
  </si>
  <si>
    <t>F3225@55</t>
  </si>
  <si>
    <t>F3225@56</t>
  </si>
  <si>
    <t>F3225@57</t>
  </si>
  <si>
    <t>F3225@58</t>
  </si>
  <si>
    <t>F3225@59</t>
  </si>
  <si>
    <t>F3225@60</t>
  </si>
  <si>
    <t>F3225@61</t>
  </si>
  <si>
    <t>F3225@62</t>
  </si>
  <si>
    <t>F3225@63</t>
  </si>
  <si>
    <t>F3225@64</t>
  </si>
  <si>
    <t>F3225@65</t>
  </si>
  <si>
    <t>F3225@66</t>
  </si>
  <si>
    <t>F3225@67</t>
  </si>
  <si>
    <t>F3225@68</t>
  </si>
  <si>
    <t>F3225@69</t>
  </si>
  <si>
    <t>F3225@70</t>
  </si>
  <si>
    <t>F3225@71</t>
  </si>
  <si>
    <t>F3225@72</t>
  </si>
  <si>
    <t>F3225@73</t>
  </si>
  <si>
    <t>F3225@74</t>
  </si>
  <si>
    <t>F3225@75</t>
  </si>
  <si>
    <t>F3225@76</t>
  </si>
  <si>
    <t>F3225@77</t>
  </si>
  <si>
    <t>F3225@78</t>
  </si>
  <si>
    <t>F3225@79</t>
  </si>
  <si>
    <t>F3225@80</t>
  </si>
  <si>
    <t>F3225@81</t>
  </si>
  <si>
    <t>F3225@82</t>
  </si>
  <si>
    <t>F3225@83</t>
  </si>
  <si>
    <t>F3225@84</t>
  </si>
  <si>
    <t>F3225@85</t>
  </si>
  <si>
    <t>F3225@86</t>
  </si>
  <si>
    <t>F3225@87</t>
  </si>
  <si>
    <t>F3225@88</t>
  </si>
  <si>
    <t>F3225@89</t>
  </si>
  <si>
    <t>F3225@90</t>
  </si>
  <si>
    <t>F3225@91</t>
  </si>
  <si>
    <t>F3225@92</t>
  </si>
  <si>
    <t>F3225@93</t>
  </si>
  <si>
    <t>F3225@94</t>
  </si>
  <si>
    <t>F3225@95</t>
  </si>
  <si>
    <t>F3225@96</t>
  </si>
  <si>
    <t>F3225@97</t>
  </si>
  <si>
    <t>F3225@98</t>
  </si>
  <si>
    <t>F3225@99</t>
  </si>
  <si>
    <t>F3225@100</t>
  </si>
  <si>
    <t>F3225@101</t>
  </si>
  <si>
    <t>F3225@102</t>
  </si>
  <si>
    <t>F3225@103</t>
  </si>
  <si>
    <t>F3225@104</t>
  </si>
  <si>
    <t>F3225@105</t>
  </si>
  <si>
    <t>F3225@106</t>
  </si>
  <si>
    <t>F3225@107</t>
  </si>
  <si>
    <t>F3225@108</t>
  </si>
  <si>
    <t>F3225@109</t>
  </si>
  <si>
    <t>F3225@110</t>
  </si>
  <si>
    <t>F3225@111</t>
  </si>
  <si>
    <t>F3225@112</t>
  </si>
  <si>
    <t>F3225@113</t>
  </si>
  <si>
    <t>F3225@114</t>
  </si>
  <si>
    <t>F3225@115</t>
  </si>
  <si>
    <t>F3225@116</t>
  </si>
  <si>
    <t>F3225@117</t>
  </si>
  <si>
    <t>F3225@118</t>
  </si>
  <si>
    <t>F3225@119</t>
  </si>
  <si>
    <t>F3225@120</t>
  </si>
  <si>
    <t>F3225@121</t>
  </si>
  <si>
    <t>F3225@122</t>
  </si>
  <si>
    <t>F3225@123</t>
  </si>
  <si>
    <t>F3225@124</t>
  </si>
  <si>
    <t>F3225@125</t>
  </si>
  <si>
    <t>F3225@126</t>
  </si>
  <si>
    <t>F3225@127</t>
  </si>
  <si>
    <t>F3225@128</t>
  </si>
  <si>
    <t>F3225@129</t>
  </si>
  <si>
    <t>F3225@130</t>
  </si>
  <si>
    <t>F3225@131</t>
  </si>
  <si>
    <t>F3225@132</t>
  </si>
  <si>
    <t>F3225@133</t>
  </si>
  <si>
    <t>F3225@134</t>
  </si>
  <si>
    <t>F3225@135</t>
  </si>
  <si>
    <t>F3225@136</t>
  </si>
  <si>
    <t>F3225@137</t>
  </si>
  <si>
    <t>F3225@138</t>
  </si>
  <si>
    <t>F3225@139</t>
  </si>
  <si>
    <t>F3225@140</t>
  </si>
  <si>
    <t>F3225@141</t>
  </si>
  <si>
    <t>F3225@142</t>
  </si>
  <si>
    <t>F3225@143</t>
  </si>
  <si>
    <t>F3225@144</t>
  </si>
  <si>
    <t>Run_ID</t>
  </si>
  <si>
    <t>Sample</t>
  </si>
  <si>
    <t>Material</t>
  </si>
  <si>
    <t>Locality</t>
  </si>
  <si>
    <t>Pwr_Achieved</t>
  </si>
  <si>
    <t>OP_Temp</t>
  </si>
  <si>
    <t>Irrad</t>
  </si>
  <si>
    <t>J</t>
  </si>
  <si>
    <t>J_Er</t>
  </si>
  <si>
    <t>Ar40_</t>
  </si>
  <si>
    <t>Ar40_Er</t>
  </si>
  <si>
    <t>Ar39_</t>
  </si>
  <si>
    <t>Ar39_Er</t>
  </si>
  <si>
    <t>Ar38_</t>
  </si>
  <si>
    <t>Ar38_Er</t>
  </si>
  <si>
    <t>Ar37_</t>
  </si>
  <si>
    <t>Ar37_Er</t>
  </si>
  <si>
    <t>Ar36_</t>
  </si>
  <si>
    <t>Ar36_Er</t>
  </si>
  <si>
    <t>Ar39_Moles</t>
  </si>
  <si>
    <t>Ar39_CumPct</t>
  </si>
  <si>
    <t>Ar36_Over_Ar39</t>
  </si>
  <si>
    <t>Ar36_Over_Ar39_Er</t>
  </si>
  <si>
    <t>PctAr36Ca</t>
  </si>
  <si>
    <t>Ar37_Over_Ar39</t>
  </si>
  <si>
    <t>Ar37_Over_Ar39_Er</t>
  </si>
  <si>
    <t>Ca_Over_K</t>
  </si>
  <si>
    <t>Ca_Over_K_Er</t>
  </si>
  <si>
    <t>Ar38_Over_Ar39</t>
  </si>
  <si>
    <t>Ar38_Over_Ar39_Er</t>
  </si>
  <si>
    <t>Ar40_Over_Ar39</t>
  </si>
  <si>
    <t>Ar40_Over_Ar39_Er</t>
  </si>
  <si>
    <t>Ar40Rad_Over_Ar39</t>
  </si>
  <si>
    <t>Ar40Rad_Over_Ar39_Er</t>
  </si>
  <si>
    <t>PctAr40Rad</t>
  </si>
  <si>
    <t>Age_Er</t>
  </si>
  <si>
    <t>Age_Er_with_J_er</t>
  </si>
  <si>
    <t>Age_Er_with_external_error</t>
  </si>
  <si>
    <t>MSWD</t>
  </si>
  <si>
    <t>Prob</t>
  </si>
  <si>
    <t>Isoch_36_Over_40</t>
  </si>
  <si>
    <t>Pct_i36_Over_40_Er</t>
  </si>
  <si>
    <t>Isoch_39_Over_40</t>
  </si>
  <si>
    <t>Pct_i39_Over_40_Er</t>
  </si>
  <si>
    <t>Correl_36_Over_39</t>
  </si>
  <si>
    <t xml:space="preserve">Use auto decimal alignment:</t>
  </si>
  <si>
    <t xml:space="preserve">Relative Isotopic Abundances</t>
  </si>
  <si>
    <t xml:space="preserve">Derived Results</t>
  </si>
  <si>
    <t xml:space="preserve">Inverse Isochron Data</t>
  </si>
  <si>
    <t xml:space="preserve">Lab ID#</t>
  </si>
  <si>
    <t>Watts</t>
  </si>
  <si>
    <t>°C</t>
  </si>
  <si>
    <t>Irrad.</t>
  </si>
  <si>
    <r>
      <t>40</t>
    </r>
    <r>
      <rPr>
        <b/>
        <sz val="12"/>
        <rFont val="Times"/>
      </rPr>
      <t>Ar</t>
    </r>
  </si>
  <si>
    <r>
      <t>39</t>
    </r>
    <r>
      <rPr>
        <b/>
        <sz val="12"/>
        <rFont val="Times"/>
      </rPr>
      <t>Ar</t>
    </r>
  </si>
  <si>
    <r>
      <t>38</t>
    </r>
    <r>
      <rPr>
        <b/>
        <sz val="12"/>
        <rFont val="Times"/>
      </rPr>
      <t>Ar</t>
    </r>
  </si>
  <si>
    <r>
      <t>37</t>
    </r>
    <r>
      <rPr>
        <b/>
        <sz val="12"/>
        <rFont val="Times"/>
      </rPr>
      <t>Ar</t>
    </r>
  </si>
  <si>
    <r>
      <t>36</t>
    </r>
    <r>
      <rPr>
        <b/>
        <sz val="12"/>
        <rFont val="Times"/>
      </rPr>
      <t>Ar</t>
    </r>
  </si>
  <si>
    <r>
      <t>39</t>
    </r>
    <r>
      <rPr>
        <b/>
        <sz val="12"/>
        <rFont val="Times"/>
      </rPr>
      <t xml:space="preserve">Ar Mol</t>
    </r>
  </si>
  <si>
    <r>
      <t>36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</si>
  <si>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t>±1s</t>
  </si>
  <si>
    <t>%(36Ar)Ca</t>
  </si>
  <si>
    <r>
      <t>37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</si>
  <si>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t>Ca/K</t>
  </si>
  <si>
    <r>
      <t>38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</si>
  <si>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r>
      <t>40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</si>
  <si>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r>
      <t>40</t>
    </r>
    <r>
      <rPr>
        <b/>
        <sz val="12"/>
        <rFont val="Times"/>
      </rPr>
      <t>Ar</t>
    </r>
    <r>
      <rPr>
        <b/>
        <vertAlign val="superscript"/>
        <sz val="12"/>
        <rFont val="Times"/>
      </rPr>
      <t>*</t>
    </r>
    <r>
      <rPr>
        <b/>
        <sz val="12"/>
        <rFont val="Times"/>
      </rPr>
      <t>/</t>
    </r>
    <r>
      <rPr>
        <b/>
        <vertAlign val="superscript"/>
        <sz val="12"/>
        <rFont val="Times"/>
      </rPr>
      <t>39</t>
    </r>
    <r>
      <rPr>
        <b/>
        <sz val="12"/>
        <rFont val="Times"/>
      </rPr>
      <t>Ar</t>
    </r>
  </si>
  <si>
    <r>
      <t>%</t>
    </r>
    <r>
      <rPr>
        <b/>
        <vertAlign val="superscript"/>
        <sz val="12"/>
        <rFont val="Times"/>
      </rPr>
      <t>40</t>
    </r>
    <r>
      <rPr>
        <b/>
        <sz val="12"/>
        <rFont val="Times"/>
      </rPr>
      <t>Ar</t>
    </r>
    <r>
      <rPr>
        <b/>
        <vertAlign val="superscript"/>
        <sz val="12"/>
        <rFont val="Times"/>
      </rPr>
      <t>*</t>
    </r>
    <r>
      <rPr>
        <sz val="11"/>
        <color theme="1"/>
        <rFont val="Calibri"/>
        <scheme val="minor"/>
      </rPr>
      <t/>
    </r>
  </si>
  <si>
    <r>
      <t>w/±</t>
    </r>
    <r>
      <rPr>
        <b/>
        <i/>
        <sz val="12"/>
        <rFont val="Times"/>
      </rPr>
      <t>J</t>
    </r>
  </si>
  <si>
    <t>Prob.</t>
  </si>
  <si>
    <r>
      <t>36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40</t>
    </r>
    <r>
      <rPr>
        <b/>
        <sz val="12"/>
        <rFont val="Times"/>
      </rPr>
      <t>Ar</t>
    </r>
  </si>
  <si>
    <r>
      <t>39</t>
    </r>
    <r>
      <rPr>
        <b/>
        <sz val="12"/>
        <rFont val="Times"/>
      </rPr>
      <t>Ar/</t>
    </r>
    <r>
      <rPr>
        <b/>
        <vertAlign val="superscript"/>
        <sz val="12"/>
        <rFont val="Times"/>
      </rPr>
      <t>40</t>
    </r>
    <r>
      <rPr>
        <b/>
        <sz val="12"/>
        <rFont val="Times"/>
      </rPr>
      <t>Ar</t>
    </r>
  </si>
  <si>
    <r>
      <t xml:space="preserve">( X 10</t>
    </r>
    <r>
      <rPr>
        <b/>
        <vertAlign val="superscript"/>
        <sz val="12"/>
        <rFont val="Times"/>
      </rPr>
      <t>-3</t>
    </r>
    <r>
      <rPr>
        <b/>
        <sz val="12"/>
        <rFont val="Times"/>
      </rPr>
      <t xml:space="preserve">) ± 1</t>
    </r>
    <r>
      <rPr>
        <b/>
        <sz val="12"/>
        <rFont val="Symbol"/>
      </rPr>
      <t>s</t>
    </r>
  </si>
  <si>
    <r>
      <t>±1</t>
    </r>
    <r>
      <rPr>
        <b/>
        <sz val="12"/>
        <rFont val="Symbol"/>
      </rPr>
      <t>s</t>
    </r>
  </si>
  <si>
    <r>
      <t>¥</t>
    </r>
    <r>
      <rPr>
        <b/>
        <sz val="12"/>
        <rFont val="Times"/>
      </rPr>
      <t xml:space="preserve"> 10</t>
    </r>
    <r>
      <rPr>
        <b/>
        <vertAlign val="superscript"/>
        <sz val="12"/>
        <rFont val="Times"/>
      </rPr>
      <t>-14</t>
    </r>
  </si>
  <si>
    <t xml:space="preserve">Cum. %</t>
  </si>
  <si>
    <r>
      <t xml:space="preserve">( X 10</t>
    </r>
    <r>
      <rPr>
        <b/>
        <vertAlign val="superscript"/>
        <sz val="12"/>
        <rFont val="Times"/>
      </rPr>
      <t>-5</t>
    </r>
    <r>
      <rPr>
        <b/>
        <sz val="12"/>
        <rFont val="Times"/>
      </rPr>
      <t>)</t>
    </r>
  </si>
  <si>
    <r>
      <t>±%1</t>
    </r>
    <r>
      <rPr>
        <b/>
        <sz val="12"/>
        <rFont val="Symbol"/>
      </rPr>
      <t>s</t>
    </r>
  </si>
  <si>
    <t xml:space="preserve">Er. Corr.</t>
  </si>
  <si>
    <t>K308-2</t>
  </si>
  <si>
    <t>1052-01</t>
  </si>
  <si>
    <t>feldspar</t>
  </si>
  <si>
    <t>1A</t>
  </si>
  <si>
    <t>1052-05</t>
  </si>
  <si>
    <t>1052-06</t>
  </si>
  <si>
    <t>1052-07</t>
  </si>
  <si>
    <t>1052-08</t>
  </si>
  <si>
    <t>1052-09</t>
  </si>
  <si>
    <t>1052-11</t>
  </si>
  <si>
    <t>1050-02</t>
  </si>
  <si>
    <t>EPS1-1379</t>
  </si>
  <si>
    <t>1050-03</t>
  </si>
  <si>
    <t>1050-04</t>
  </si>
  <si>
    <t>1050-05</t>
  </si>
  <si>
    <t>1050-06</t>
  </si>
  <si>
    <t>1050-07</t>
  </si>
  <si>
    <t>1050-09</t>
  </si>
  <si>
    <t>1050-10</t>
  </si>
  <si>
    <t>1050-11</t>
  </si>
  <si>
    <t>1050-12</t>
  </si>
  <si>
    <t>1051-01</t>
  </si>
  <si>
    <t>1051-02</t>
  </si>
  <si>
    <t>1051-03</t>
  </si>
  <si>
    <t>1051-04</t>
  </si>
  <si>
    <t>1051-05</t>
  </si>
  <si>
    <t>1051-06</t>
  </si>
  <si>
    <t>1051-07</t>
  </si>
  <si>
    <t>1051-08</t>
  </si>
  <si>
    <t>1051-09</t>
  </si>
  <si>
    <t>1053-01</t>
  </si>
  <si>
    <t>R7-3325.1-H3T</t>
  </si>
  <si>
    <t>1053-02</t>
  </si>
  <si>
    <t>1053-03</t>
  </si>
  <si>
    <t>1053-04</t>
  </si>
  <si>
    <t>1053-05</t>
  </si>
  <si>
    <t>1053-06</t>
  </si>
  <si>
    <t>1053-07</t>
  </si>
  <si>
    <t>1053-08</t>
  </si>
  <si>
    <t>1054-01</t>
  </si>
  <si>
    <t>RH2-3048.9-H1</t>
  </si>
  <si>
    <t>1054-02</t>
  </si>
  <si>
    <t>1054-03</t>
  </si>
  <si>
    <t>1054-04</t>
  </si>
  <si>
    <t>1054-05</t>
  </si>
  <si>
    <t>1054-06</t>
  </si>
  <si>
    <t>1054-07</t>
  </si>
  <si>
    <t>1055-01</t>
  </si>
  <si>
    <t>R2-2435.15-15V</t>
  </si>
  <si>
    <t>1055-02</t>
  </si>
  <si>
    <t>1056-01</t>
  </si>
  <si>
    <t>K500</t>
  </si>
  <si>
    <t>1056-02</t>
  </si>
  <si>
    <t>1057-01</t>
  </si>
  <si>
    <t>K352</t>
  </si>
  <si>
    <t>1058-01</t>
  </si>
  <si>
    <t>M11</t>
  </si>
  <si>
    <t>1058-02</t>
  </si>
  <si>
    <t xml:space="preserve">sample name</t>
  </si>
  <si>
    <t>X009@1</t>
  </si>
  <si>
    <t>X009@02</t>
  </si>
  <si>
    <t>X009@03</t>
  </si>
  <si>
    <t>X009@04</t>
  </si>
  <si>
    <t>X009@05</t>
  </si>
  <si>
    <t>X009@06</t>
  </si>
  <si>
    <t>X009@07</t>
  </si>
  <si>
    <t>X009@08</t>
  </si>
  <si>
    <t>X009@09</t>
  </si>
  <si>
    <t>X009@10</t>
  </si>
  <si>
    <t>X009@11</t>
  </si>
  <si>
    <t>X009@12</t>
  </si>
  <si>
    <t>X009@13</t>
  </si>
  <si>
    <t>X009@14</t>
  </si>
  <si>
    <t>X009@15</t>
  </si>
  <si>
    <t>X009@16</t>
  </si>
  <si>
    <t>X009@17</t>
  </si>
  <si>
    <t>X009@18</t>
  </si>
  <si>
    <t>X009@19</t>
  </si>
  <si>
    <t>X009@20</t>
  </si>
  <si>
    <t>X009@21</t>
  </si>
  <si>
    <t>X009@22</t>
  </si>
  <si>
    <t>X009@23</t>
  </si>
  <si>
    <t>X009@24</t>
  </si>
  <si>
    <t>X009@25</t>
  </si>
  <si>
    <t>X009@26</t>
  </si>
  <si>
    <t>X009@27</t>
  </si>
  <si>
    <t>X009@28</t>
  </si>
  <si>
    <t>X009@29</t>
  </si>
  <si>
    <t>X009@30</t>
  </si>
  <si>
    <t>X009@31</t>
  </si>
  <si>
    <t>X009@32</t>
  </si>
  <si>
    <t>X009@33</t>
  </si>
  <si>
    <t>X009@34</t>
  </si>
  <si>
    <t>X009@35</t>
  </si>
  <si>
    <t>X009@36</t>
  </si>
  <si>
    <t>X009@37</t>
  </si>
  <si>
    <t>X009@38</t>
  </si>
  <si>
    <t>X009@39</t>
  </si>
  <si>
    <t>X009@40</t>
  </si>
  <si>
    <t>X009@41</t>
  </si>
  <si>
    <t>X009@43</t>
  </si>
  <si>
    <t>X009@44</t>
  </si>
  <si>
    <t>X009@45</t>
  </si>
  <si>
    <t>X009@46</t>
  </si>
  <si>
    <t>X009@47</t>
  </si>
  <si>
    <t>X009@48</t>
  </si>
  <si>
    <t>X009@49</t>
  </si>
  <si>
    <t>X009@50</t>
  </si>
  <si>
    <t>X009@51</t>
  </si>
  <si>
    <t>X009@52</t>
  </si>
  <si>
    <t>X009@53</t>
  </si>
  <si>
    <t>X024@1</t>
  </si>
  <si>
    <t>X024@002</t>
  </si>
  <si>
    <t>X024@003</t>
  </si>
  <si>
    <t>X024@004</t>
  </si>
  <si>
    <t>X024@005</t>
  </si>
  <si>
    <t>X024@006</t>
  </si>
  <si>
    <t>X024@007</t>
  </si>
  <si>
    <t>X024@008</t>
  </si>
  <si>
    <t>X024@009</t>
  </si>
  <si>
    <t>X024@010</t>
  </si>
  <si>
    <t>X024@011</t>
  </si>
  <si>
    <t>X024@012</t>
  </si>
  <si>
    <t>X024@013</t>
  </si>
  <si>
    <t>X024@014</t>
  </si>
  <si>
    <t>X024@015</t>
  </si>
  <si>
    <t>X024@016</t>
  </si>
  <si>
    <t>X024@017</t>
  </si>
  <si>
    <t>X024@018</t>
  </si>
  <si>
    <t>X024@019</t>
  </si>
  <si>
    <t>X024@020</t>
  </si>
  <si>
    <t>X024@021</t>
  </si>
  <si>
    <t>X024@022</t>
  </si>
  <si>
    <t>X024@023</t>
  </si>
  <si>
    <t>X024@024</t>
  </si>
  <si>
    <t>X024@025</t>
  </si>
  <si>
    <t>X024@026</t>
  </si>
  <si>
    <t>X024@027</t>
  </si>
  <si>
    <t>X024@028</t>
  </si>
  <si>
    <t>X024@029</t>
  </si>
  <si>
    <t>X024@030</t>
  </si>
  <si>
    <t>X024@031</t>
  </si>
  <si>
    <t>X024@032</t>
  </si>
  <si>
    <t>X024@033</t>
  </si>
  <si>
    <t>X024@035</t>
  </si>
  <si>
    <t>X024@034</t>
  </si>
  <si>
    <t>X024@036</t>
  </si>
  <si>
    <t>X024@037</t>
  </si>
  <si>
    <t>X024@038</t>
  </si>
  <si>
    <t>X024@039</t>
  </si>
  <si>
    <t>X024@040</t>
  </si>
  <si>
    <t>X024@041</t>
  </si>
  <si>
    <t>X024@042</t>
  </si>
  <si>
    <t>X024@043</t>
  </si>
  <si>
    <t>X024@044</t>
  </si>
  <si>
    <t>X024@045</t>
  </si>
  <si>
    <t>X024@046</t>
  </si>
  <si>
    <t>X024@047</t>
  </si>
  <si>
    <t>X024@048</t>
  </si>
  <si>
    <t>X024@049</t>
  </si>
  <si>
    <t>X024@050</t>
  </si>
  <si>
    <t>X024@051</t>
  </si>
  <si>
    <t>X024@052</t>
  </si>
  <si>
    <t>X024@053</t>
  </si>
  <si>
    <t>X024@054</t>
  </si>
  <si>
    <t>X024@055</t>
  </si>
  <si>
    <t>X024@056</t>
  </si>
  <si>
    <t>X024@057</t>
  </si>
  <si>
    <t>X024@058</t>
  </si>
  <si>
    <t>X024@059</t>
  </si>
  <si>
    <t>X024@060</t>
  </si>
  <si>
    <t>X024@061</t>
  </si>
  <si>
    <t>X024@062</t>
  </si>
  <si>
    <t>X024@063</t>
  </si>
  <si>
    <t>X024@064</t>
  </si>
  <si>
    <t>X024@065</t>
  </si>
  <si>
    <t>X024@066</t>
  </si>
  <si>
    <t>X024@067</t>
  </si>
  <si>
    <t>X024@068</t>
  </si>
  <si>
    <t>X024@069</t>
  </si>
  <si>
    <t>X024@070</t>
  </si>
  <si>
    <t>X024@071</t>
  </si>
  <si>
    <t>X024@072</t>
  </si>
  <si>
    <t>X024@073</t>
  </si>
  <si>
    <t>X024@074</t>
  </si>
  <si>
    <t>X024@075</t>
  </si>
  <si>
    <t>X024@076</t>
  </si>
  <si>
    <t>X024@077</t>
  </si>
  <si>
    <t>X024@078</t>
  </si>
  <si>
    <t>X024@079</t>
  </si>
  <si>
    <t>X024@080</t>
  </si>
  <si>
    <t>X024@081</t>
  </si>
  <si>
    <t>X024@082</t>
  </si>
  <si>
    <t>X024@083</t>
  </si>
  <si>
    <t>X024@084</t>
  </si>
  <si>
    <t>X024@085</t>
  </si>
  <si>
    <t>X024@086</t>
  </si>
  <si>
    <t>X024@087</t>
  </si>
  <si>
    <t>X024@088</t>
  </si>
  <si>
    <t>X024@089</t>
  </si>
  <si>
    <t>X024@090</t>
  </si>
  <si>
    <t>X024@091</t>
  </si>
  <si>
    <t>X024@092</t>
  </si>
  <si>
    <t>X024@093</t>
  </si>
  <si>
    <t>X024@094</t>
  </si>
  <si>
    <t>X024@095</t>
  </si>
  <si>
    <t>X024@096</t>
  </si>
  <si>
    <t>X024@097</t>
  </si>
  <si>
    <t>X024@098</t>
  </si>
  <si>
    <t>X024@099</t>
  </si>
  <si>
    <t>X024@100</t>
  </si>
  <si>
    <t>X024@101</t>
  </si>
  <si>
    <t>X024@102</t>
  </si>
  <si>
    <t>X024@103</t>
  </si>
  <si>
    <t>X024@104</t>
  </si>
  <si>
    <t>X024@105</t>
  </si>
  <si>
    <t>X024@106</t>
  </si>
  <si>
    <t>X024@107</t>
  </si>
  <si>
    <t>X024@108</t>
  </si>
  <si>
    <t>X024@109</t>
  </si>
  <si>
    <t>X024@110</t>
  </si>
  <si>
    <t>X024@111</t>
  </si>
  <si>
    <t>X024@112</t>
  </si>
  <si>
    <t>X024@113</t>
  </si>
  <si>
    <t>X024@114</t>
  </si>
  <si>
    <t>X024@115</t>
  </si>
  <si>
    <t>X024@116</t>
  </si>
  <si>
    <t>X024@117</t>
  </si>
  <si>
    <t>X024@118</t>
  </si>
  <si>
    <t>X024@119</t>
  </si>
  <si>
    <t>X024@120</t>
  </si>
  <si>
    <t>X024@121</t>
  </si>
  <si>
    <t>X024@122</t>
  </si>
  <si>
    <t>X024@123</t>
  </si>
  <si>
    <t>X024@124</t>
  </si>
  <si>
    <t>X024@125</t>
  </si>
  <si>
    <t>X024@126</t>
  </si>
  <si>
    <t>Name</t>
  </si>
  <si>
    <t>Nmbr</t>
  </si>
  <si>
    <t>EPS1360@1</t>
  </si>
  <si>
    <t>EPS1360@2</t>
  </si>
  <si>
    <t>EPS1360@3</t>
  </si>
  <si>
    <t>EPS1360@4</t>
  </si>
  <si>
    <t>EPS1360@5</t>
  </si>
  <si>
    <t>EPS1360@6</t>
  </si>
  <si>
    <t>EPS1360@7</t>
  </si>
  <si>
    <t>EPS1360@8</t>
  </si>
  <si>
    <t>EPS1360@9</t>
  </si>
  <si>
    <t>EPS1360@10</t>
  </si>
  <si>
    <t>EPS1360@11</t>
  </si>
  <si>
    <t>EPS1360@12</t>
  </si>
  <si>
    <t>EPS1360@13</t>
  </si>
  <si>
    <t>EPS1360@14</t>
  </si>
  <si>
    <t>EPS1360@15</t>
  </si>
  <si>
    <t>EPS1360@16</t>
  </si>
  <si>
    <t>EPS1360@17</t>
  </si>
  <si>
    <t>EPS1360@18</t>
  </si>
  <si>
    <t>EPS1360@19</t>
  </si>
  <si>
    <t>EPS1360@20</t>
  </si>
  <si>
    <t>EPS1360@21</t>
  </si>
  <si>
    <t>EPS1360@22</t>
  </si>
  <si>
    <t>EPS1360@23</t>
  </si>
  <si>
    <t>EPS1360@24</t>
  </si>
  <si>
    <t>EPS1360@25</t>
  </si>
  <si>
    <t>EPS1360@26</t>
  </si>
  <si>
    <t>EPS1360@27</t>
  </si>
  <si>
    <t>EPS1360@28</t>
  </si>
  <si>
    <t>EPS1360@29</t>
  </si>
  <si>
    <t>EPS1360@30</t>
  </si>
  <si>
    <t>EPS1360@31</t>
  </si>
  <si>
    <t>EPS1360@32</t>
  </si>
  <si>
    <t>EPS1360@33</t>
  </si>
  <si>
    <t>EPS1360@34</t>
  </si>
  <si>
    <t>EPS1360@35</t>
  </si>
  <si>
    <t>EPS1360@36</t>
  </si>
  <si>
    <t>EPS1360@37</t>
  </si>
  <si>
    <t>EPS1360@38</t>
  </si>
  <si>
    <t>EPS1360@39</t>
  </si>
  <si>
    <t>EPS1360@40</t>
  </si>
  <si>
    <t>EPS1360@41</t>
  </si>
  <si>
    <t>EPS1360@42</t>
  </si>
  <si>
    <t>EPS1360@43</t>
  </si>
  <si>
    <t>EPS1360@44</t>
  </si>
  <si>
    <t>EPS1360@45</t>
  </si>
  <si>
    <t>EPS1360@46</t>
  </si>
  <si>
    <t>EPS1360@47</t>
  </si>
  <si>
    <t>EPS1360@48</t>
  </si>
  <si>
    <t>EPS1360@49</t>
  </si>
  <si>
    <t>EPS1360@50</t>
  </si>
  <si>
    <t>EPS1360@51</t>
  </si>
  <si>
    <t>EPS1360@52</t>
  </si>
  <si>
    <t>EPS1360@53</t>
  </si>
  <si>
    <t>EPS1360@54</t>
  </si>
  <si>
    <t>EPS1360@55</t>
  </si>
  <si>
    <t>EPS1360@56</t>
  </si>
  <si>
    <t>EPS1360@57</t>
  </si>
  <si>
    <t>EPS1360@58</t>
  </si>
  <si>
    <t>EPS1360@59</t>
  </si>
  <si>
    <t>EPS1360@60</t>
  </si>
  <si>
    <t>EPS1360@61</t>
  </si>
  <si>
    <t>EPS1360@62</t>
  </si>
  <si>
    <t>EPS1360@63</t>
  </si>
  <si>
    <t>EPS1360@64</t>
  </si>
  <si>
    <t>EPS1360@65</t>
  </si>
  <si>
    <t>EPS1360@66</t>
  </si>
  <si>
    <t>EPS1360@67</t>
  </si>
  <si>
    <t>EPS1360@68</t>
  </si>
  <si>
    <t>EPS1360@69</t>
  </si>
  <si>
    <t>EPS1360@70</t>
  </si>
  <si>
    <t>EPS1360@71</t>
  </si>
  <si>
    <t>EPS1360@72</t>
  </si>
  <si>
    <t>EPS1360@73</t>
  </si>
  <si>
    <t>EPS1360@74</t>
  </si>
  <si>
    <t>EPS1360@75</t>
  </si>
  <si>
    <t>EPS1360@76</t>
  </si>
  <si>
    <t>EPS1360@77</t>
  </si>
  <si>
    <t>EPS1360@78</t>
  </si>
  <si>
    <t>EPS1360@79</t>
  </si>
  <si>
    <t>EPS1360@80</t>
  </si>
  <si>
    <t>EPS1360@81</t>
  </si>
  <si>
    <t>EPS1360@82</t>
  </si>
  <si>
    <t>EPS1360@83</t>
  </si>
  <si>
    <t>EPS1360@84</t>
  </si>
  <si>
    <t>EPS1360@85</t>
  </si>
  <si>
    <t>EPS1360@86</t>
  </si>
  <si>
    <t>EPS1360@87</t>
  </si>
  <si>
    <t>EPS1360@88</t>
  </si>
  <si>
    <t>EPS1360@89</t>
  </si>
  <si>
    <t>EPS1360@90</t>
  </si>
  <si>
    <t>EPS1360@91</t>
  </si>
  <si>
    <t>EPS1360@92</t>
  </si>
  <si>
    <t>EPS1360@93</t>
  </si>
  <si>
    <t>EPS1360@94</t>
  </si>
  <si>
    <t>EPS1360@95</t>
  </si>
  <si>
    <t>EPS1360@96</t>
  </si>
  <si>
    <t>EPS1360@97</t>
  </si>
  <si>
    <t>EPS1360@98</t>
  </si>
  <si>
    <t>EPS1360@99</t>
  </si>
  <si>
    <t>EPS1360@100</t>
  </si>
  <si>
    <t>EPS1360@101</t>
  </si>
  <si>
    <t>EPS1360@102</t>
  </si>
  <si>
    <t>EPS1360@103</t>
  </si>
  <si>
    <t>EPS1360@104</t>
  </si>
  <si>
    <t>EPS1360@105</t>
  </si>
  <si>
    <t>EPS1360@106</t>
  </si>
  <si>
    <t>EPS1360@107</t>
  </si>
  <si>
    <t>EPS1360@108</t>
  </si>
  <si>
    <t>EPS1360@109</t>
  </si>
  <si>
    <t>EPS1360@110</t>
  </si>
  <si>
    <t>EPS1360@111</t>
  </si>
  <si>
    <t>EPS1360@112</t>
  </si>
  <si>
    <t>EPS1360@113</t>
  </si>
  <si>
    <t>EPS1360@114</t>
  </si>
  <si>
    <t>EPS1360@115</t>
  </si>
  <si>
    <t>EPS1360@116</t>
  </si>
  <si>
    <t>EPS1360@117</t>
  </si>
  <si>
    <t>EPS1360@118</t>
  </si>
  <si>
    <t>EPS1360@119</t>
  </si>
  <si>
    <t>EPS1360@120</t>
  </si>
  <si>
    <t>EPS1360@121</t>
  </si>
  <si>
    <t>EPS1360@122</t>
  </si>
  <si>
    <t>EPS1360@123</t>
  </si>
  <si>
    <t>EPS1360@124</t>
  </si>
  <si>
    <t>EPS1360@125</t>
  </si>
  <si>
    <t>EPS1360@126</t>
  </si>
  <si>
    <t>EPS1360@127</t>
  </si>
  <si>
    <t>EPS1360@128</t>
  </si>
  <si>
    <t>EPS1360@129</t>
  </si>
  <si>
    <t>EPS1360@130</t>
  </si>
  <si>
    <t>EPS1360@131</t>
  </si>
  <si>
    <t>EPS1360@132</t>
  </si>
  <si>
    <t>EPS1360@133</t>
  </si>
  <si>
    <t>EPS1360@134</t>
  </si>
  <si>
    <t>EPS1360@135</t>
  </si>
  <si>
    <t>EPS1360@136</t>
  </si>
  <si>
    <t>EPS1360@137</t>
  </si>
  <si>
    <t>EPS1360@138</t>
  </si>
  <si>
    <t>EPS1360@139</t>
  </si>
  <si>
    <t>EPS1360@140</t>
  </si>
  <si>
    <t>EPS1360@141</t>
  </si>
  <si>
    <t>EPS1360@142</t>
  </si>
  <si>
    <t>EPS1360@143</t>
  </si>
  <si>
    <t>EPS1360@144</t>
  </si>
  <si>
    <t>EPS1360@145</t>
  </si>
  <si>
    <t>EPS1360@146</t>
  </si>
  <si>
    <t>EPS1360@147</t>
  </si>
  <si>
    <t>EPS1360@148</t>
  </si>
  <si>
    <t>EPS1360@149</t>
  </si>
  <si>
    <t>EPS1360@150</t>
  </si>
  <si>
    <t>EPS1360@151</t>
  </si>
  <si>
    <t>EPS1360@152</t>
  </si>
  <si>
    <t>EPS1360@153</t>
  </si>
  <si>
    <t>EPS1360@154</t>
  </si>
  <si>
    <t>EPS1360@155</t>
  </si>
  <si>
    <t>EPS1360@156</t>
  </si>
  <si>
    <t>EPS1360@157</t>
  </si>
  <si>
    <t>EPS1360@158</t>
  </si>
  <si>
    <t>EPS1360@159</t>
  </si>
  <si>
    <t>EPS1360@160</t>
  </si>
  <si>
    <t>EPS1360@161</t>
  </si>
  <si>
    <t>EPS1360@162</t>
  </si>
  <si>
    <t>EPS1360@163</t>
  </si>
  <si>
    <t>EPS1360@164</t>
  </si>
  <si>
    <t>EPS1360@165</t>
  </si>
  <si>
    <t>EPS1360@166</t>
  </si>
  <si>
    <t>EPS1360@167</t>
  </si>
  <si>
    <t>EPS1360@168</t>
  </si>
  <si>
    <t>EPS1360@169</t>
  </si>
  <si>
    <t>EPS1360@170</t>
  </si>
  <si>
    <t>num</t>
  </si>
  <si>
    <t>Dist</t>
  </si>
  <si>
    <t>D18O</t>
  </si>
  <si>
    <t>BAR002@09</t>
  </si>
  <si>
    <t>BAR002@10</t>
  </si>
  <si>
    <t>BAR002@11</t>
  </si>
  <si>
    <t>BAR002@12</t>
  </si>
  <si>
    <t>BAR002@13</t>
  </si>
  <si>
    <t>BAR002@14</t>
  </si>
  <si>
    <t>Numero</t>
  </si>
  <si>
    <t>Distance</t>
  </si>
  <si>
    <t>Ratio</t>
  </si>
  <si>
    <t>+-2sigma</t>
  </si>
  <si>
    <t>Delta18O</t>
  </si>
  <si>
    <t>K466@1</t>
  </si>
  <si>
    <t>K466@2</t>
  </si>
  <si>
    <t>K466@03</t>
  </si>
  <si>
    <t>K466@04</t>
  </si>
  <si>
    <t>K466@05</t>
  </si>
  <si>
    <t>K466@06</t>
  </si>
  <si>
    <t>K466@07</t>
  </si>
  <si>
    <t>K466@08</t>
  </si>
  <si>
    <t>K466@09</t>
  </si>
  <si>
    <t>K466@10</t>
  </si>
  <si>
    <t>K466@11</t>
  </si>
  <si>
    <t>K466@12</t>
  </si>
  <si>
    <t>K466@13</t>
  </si>
  <si>
    <t>K466@14</t>
  </si>
  <si>
    <t>K466@15</t>
  </si>
  <si>
    <t>K466@16</t>
  </si>
  <si>
    <t>K466@17</t>
  </si>
  <si>
    <t>K466@18</t>
  </si>
  <si>
    <t>K466@19</t>
  </si>
  <si>
    <t>K466@20</t>
  </si>
  <si>
    <t>K466@21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</si>
</sst>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4">
    <numFmt numFmtId="160" formatCode="0.0"/>
    <numFmt numFmtId="161" formatCode="?0.000"/>
    <numFmt numFmtId="162" formatCode="?0.00"/>
    <numFmt numFmtId="163" formatCode="?0.0"/>
    <numFmt numFmtId="164" formatCode="?0.0000"/>
    <numFmt numFmtId="165" formatCode="?0.00000"/>
    <numFmt numFmtId="166" formatCode="\ \±?0.0000"/>
    <numFmt numFmtId="167" formatCode="0.000"/>
    <numFmt numFmtId="168" formatCode="#"/>
    <numFmt numFmtId="169" formatCode="##"/>
    <numFmt numFmtId="170" formatCode="0.0000"/>
    <numFmt numFmtId="171" formatCode="###"/>
    <numFmt numFmtId="172" formatCode="#####"/>
    <numFmt numFmtId="173" formatCode="######"/>
  </numFmts>
  <fonts count="13">
    <font>
      <sz val="11.000000"/>
      <color theme="1"/>
      <name val="Calibri"/>
      <scheme val="minor"/>
    </font>
    <font>
      <b/>
      <sz val="10.000000"/>
      <name val="Times"/>
    </font>
    <font>
      <sz val="9.000000"/>
      <name val="Times"/>
    </font>
    <font>
      <sz val="10.000000"/>
      <name val="Verdana"/>
    </font>
    <font>
      <b/>
      <sz val="9.000000"/>
      <name val="Times"/>
    </font>
    <font>
      <u/>
      <sz val="11.000000"/>
      <color theme="10"/>
      <name val="Calibri"/>
      <scheme val="minor"/>
    </font>
    <font>
      <b/>
      <i/>
      <sz val="10.000000"/>
      <name val="Times"/>
    </font>
    <font>
      <sz val="10.000000"/>
      <name val="Arial"/>
    </font>
    <font>
      <sz val="10.000000"/>
      <name val="Times"/>
    </font>
    <font>
      <b/>
      <sz val="12.000000"/>
      <name val="Times"/>
    </font>
    <font>
      <b/>
      <i/>
      <sz val="12.000000"/>
      <name val="Times"/>
    </font>
    <font>
      <b/>
      <vertAlign val="superscript"/>
      <sz val="12.000000"/>
      <name val="Times"/>
    </font>
    <font>
      <b/>
      <sz val="12.000000"/>
      <name val="Symbo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none"/>
      <bottom style="double">
        <color auto="1"/>
      </bottom>
      <diagonal style="none"/>
    </border>
    <border>
      <left style="none"/>
      <right style="thin">
        <color auto="1"/>
      </right>
      <top style="none"/>
      <bottom style="double">
        <color auto="1"/>
      </bottom>
      <diagonal style="none"/>
    </border>
    <border>
      <left style="thin">
        <color auto="1"/>
      </left>
      <right style="none"/>
      <top style="none"/>
      <bottom style="double">
        <color auto="1"/>
      </bottom>
      <diagonal style="none"/>
    </border>
  </borders>
  <cellStyleXfs count="7">
    <xf fontId="0" fillId="0" borderId="0" numFmtId="0" applyNumberFormat="1" applyFont="1" applyFill="1" applyBorder="1"/>
    <xf fontId="1" fillId="0" borderId="0" numFmtId="2" applyNumberFormat="0" applyFont="0" applyFill="1" applyBorder="0">
      <alignment horizontal="left"/>
    </xf>
    <xf fontId="2" fillId="0" borderId="0" numFmtId="2" applyNumberFormat="0" applyFont="1" applyFill="1" applyBorder="1">
      <alignment horizontal="center"/>
    </xf>
    <xf fontId="3" fillId="0" borderId="1" numFmtId="0" applyNumberFormat="0" applyFont="0" applyFill="0" applyBorder="1"/>
    <xf fontId="4" fillId="0" borderId="0" numFmtId="2" applyNumberFormat="0" applyFont="1" applyFill="0" applyBorder="0">
      <alignment horizontal="center"/>
    </xf>
    <xf fontId="5" fillId="0" borderId="0" numFmtId="0" applyNumberFormat="0" applyFont="1" applyFill="0" applyBorder="0" applyProtection="0"/>
    <xf fontId="6" fillId="0" borderId="0" numFmtId="2" applyNumberFormat="0" applyFont="1" applyFill="0" applyBorder="0">
      <alignment horizontal="left"/>
    </xf>
  </cellStyleXfs>
  <cellXfs count="143">
    <xf fontId="0" fillId="0" borderId="0" numFmtId="0" xfId="0"/>
    <xf fontId="0" fillId="0" borderId="0" numFmtId="0" xfId="0" applyAlignment="1">
      <alignment horizontal="left" vertical="center"/>
    </xf>
    <xf fontId="0" fillId="0" borderId="0" numFmtId="2" xfId="0" applyNumberFormat="1" applyAlignment="1">
      <alignment horizontal="left" vertical="center"/>
    </xf>
    <xf fontId="5" fillId="0" borderId="0" numFmtId="0" xfId="5" applyFont="1"/>
    <xf fontId="0" fillId="0" borderId="0" numFmtId="11" xfId="0" applyNumberFormat="1"/>
    <xf fontId="7" fillId="0" borderId="0" numFmtId="0" xfId="0" applyFont="1"/>
    <xf fontId="7" fillId="0" borderId="0" numFmtId="11" xfId="0" applyNumberFormat="1" applyFont="1"/>
    <xf fontId="8" fillId="0" borderId="0" numFmtId="0" xfId="0" applyFont="1" applyAlignment="1">
      <alignment horizontal="center"/>
    </xf>
    <xf fontId="8" fillId="0" borderId="0" numFmtId="49" xfId="0" applyNumberFormat="1" applyFont="1" applyAlignment="1">
      <alignment horizontal="left"/>
    </xf>
    <xf fontId="8" fillId="0" borderId="0" numFmtId="160" xfId="0" applyNumberFormat="1" applyFont="1" applyAlignment="1">
      <alignment horizontal="center"/>
    </xf>
    <xf fontId="8" fillId="0" borderId="0" numFmtId="1" xfId="0" applyNumberFormat="1" applyFont="1" applyAlignment="1">
      <alignment horizontal="center"/>
    </xf>
    <xf fontId="8" fillId="0" borderId="0" numFmtId="161" xfId="0" applyNumberFormat="1" applyFont="1" applyAlignment="1">
      <alignment horizontal="center"/>
    </xf>
    <xf fontId="8" fillId="0" borderId="0" numFmtId="162" xfId="0" applyNumberFormat="1" applyFont="1" applyAlignment="1">
      <alignment horizontal="center"/>
    </xf>
    <xf fontId="8" fillId="0" borderId="0" numFmtId="163" xfId="0" applyNumberFormat="1" applyFont="1" applyAlignment="1">
      <alignment horizontal="center"/>
    </xf>
    <xf fontId="8" fillId="0" borderId="0" numFmtId="164" xfId="0" applyNumberFormat="1" applyFont="1" applyAlignment="1">
      <alignment horizontal="center"/>
    </xf>
    <xf fontId="8" fillId="0" borderId="0" numFmtId="165" xfId="0" applyNumberFormat="1" applyFont="1" applyAlignment="1">
      <alignment horizontal="center"/>
    </xf>
    <xf fontId="8" fillId="0" borderId="0" numFmtId="166" xfId="0" applyNumberFormat="1" applyFont="1" applyAlignment="1">
      <alignment horizontal="center"/>
    </xf>
    <xf fontId="8" fillId="0" borderId="0" numFmtId="2" xfId="0" applyNumberFormat="1" applyFont="1" applyAlignment="1">
      <alignment horizontal="center"/>
    </xf>
    <xf fontId="8" fillId="0" borderId="0" numFmtId="0" xfId="0" applyFont="1" applyAlignment="1">
      <alignment horizontal="left"/>
    </xf>
    <xf fontId="8" fillId="0" borderId="0" numFmtId="160" xfId="0" applyNumberFormat="1" applyFont="1" applyAlignment="1">
      <alignment horizontal="left"/>
    </xf>
    <xf fontId="8" fillId="0" borderId="0" numFmtId="1" xfId="0" applyNumberFormat="1" applyFont="1" applyAlignment="1">
      <alignment horizontal="left"/>
    </xf>
    <xf fontId="8" fillId="0" borderId="0" numFmtId="165" xfId="0" applyNumberFormat="1" applyFont="1" applyAlignment="1">
      <alignment horizontal="left"/>
    </xf>
    <xf fontId="8" fillId="0" borderId="0" numFmtId="2" xfId="0" applyNumberFormat="1" applyFont="1" applyAlignment="1">
      <alignment horizontal="left"/>
    </xf>
    <xf fontId="8" fillId="0" borderId="0" numFmtId="164" xfId="0" applyNumberFormat="1" applyFont="1" applyAlignment="1">
      <alignment horizontal="left"/>
    </xf>
    <xf fontId="2" fillId="0" borderId="0" numFmtId="11" xfId="0" applyNumberFormat="1" applyFont="1" applyAlignment="1">
      <alignment horizontal="left"/>
    </xf>
    <xf fontId="2" fillId="0" borderId="0" numFmtId="49" xfId="0" applyNumberFormat="1" applyFont="1" applyAlignment="1">
      <alignment horizontal="left"/>
    </xf>
    <xf fontId="2" fillId="0" borderId="0" numFmtId="160" xfId="0" applyNumberFormat="1" applyFont="1" applyAlignment="1">
      <alignment horizontal="left"/>
    </xf>
    <xf fontId="2" fillId="0" borderId="0" numFmtId="1" xfId="0" applyNumberFormat="1" applyFont="1" applyAlignment="1">
      <alignment horizontal="left"/>
    </xf>
    <xf fontId="2" fillId="0" borderId="0" numFmtId="161" xfId="0" applyNumberFormat="1" applyFont="1" applyAlignment="1">
      <alignment horizontal="left"/>
    </xf>
    <xf fontId="2" fillId="0" borderId="0" numFmtId="0" xfId="0" applyFont="1" applyAlignment="1">
      <alignment horizontal="center"/>
    </xf>
    <xf fontId="2" fillId="0" borderId="0" numFmtId="162" xfId="0" applyNumberFormat="1" applyFont="1" applyAlignment="1">
      <alignment horizontal="left"/>
    </xf>
    <xf fontId="2" fillId="0" borderId="0" numFmtId="163" xfId="0" applyNumberFormat="1" applyFont="1" applyAlignment="1">
      <alignment horizontal="left"/>
    </xf>
    <xf fontId="2" fillId="0" borderId="0" numFmtId="164" xfId="0" applyNumberFormat="1" applyFont="1" applyAlignment="1">
      <alignment horizontal="left"/>
    </xf>
    <xf fontId="2" fillId="0" borderId="0" numFmtId="0" xfId="0" applyFont="1" applyAlignment="1">
      <alignment horizontal="left"/>
    </xf>
    <xf fontId="2" fillId="0" borderId="0" numFmtId="165" xfId="0" applyNumberFormat="1" applyFont="1" applyAlignment="1">
      <alignment horizontal="left"/>
    </xf>
    <xf fontId="2" fillId="0" borderId="0" numFmtId="166" xfId="0" applyNumberFormat="1" applyFont="1" applyAlignment="1">
      <alignment horizontal="left"/>
    </xf>
    <xf fontId="2" fillId="0" borderId="0" numFmtId="2" xfId="0" applyNumberFormat="1" applyFont="1" applyAlignment="1">
      <alignment horizontal="left"/>
    </xf>
    <xf fontId="9" fillId="0" borderId="0" numFmtId="11" xfId="1" applyNumberFormat="1" applyFont="1" applyAlignment="1">
      <alignment horizontal="left"/>
    </xf>
    <xf fontId="9" fillId="0" borderId="2" numFmtId="49" xfId="1" applyNumberFormat="1" applyFont="1" applyBorder="1" applyAlignment="1">
      <alignment horizontal="center"/>
    </xf>
    <xf fontId="9" fillId="0" borderId="2" numFmtId="11" xfId="1" applyNumberFormat="1" applyFont="1" applyBorder="1" applyAlignment="1">
      <alignment horizontal="center"/>
    </xf>
    <xf fontId="9" fillId="0" borderId="3" numFmtId="11" xfId="1" applyNumberFormat="1" applyFont="1" applyBorder="1" applyAlignment="1">
      <alignment horizontal="center"/>
    </xf>
    <xf fontId="9" fillId="0" borderId="4" numFmtId="0" xfId="1" applyFont="1" applyBorder="1" applyAlignment="1">
      <alignment horizontal="center"/>
    </xf>
    <xf fontId="9" fillId="0" borderId="5" numFmtId="0" xfId="1" applyFont="1" applyBorder="1" applyAlignment="1">
      <alignment horizontal="center"/>
    </xf>
    <xf fontId="9" fillId="0" borderId="6" numFmtId="0" xfId="1" applyFont="1" applyBorder="1" applyAlignment="1">
      <alignment horizontal="center"/>
    </xf>
    <xf fontId="9" fillId="0" borderId="4" numFmtId="165" xfId="1" applyNumberFormat="1" applyFont="1" applyBorder="1" applyAlignment="1">
      <alignment horizontal="center"/>
    </xf>
    <xf fontId="9" fillId="0" borderId="5" numFmtId="165" xfId="1" applyNumberFormat="1" applyFont="1" applyBorder="1" applyAlignment="1">
      <alignment horizontal="center"/>
    </xf>
    <xf fontId="9" fillId="0" borderId="6" numFmtId="165" xfId="1" applyNumberFormat="1" applyFont="1" applyBorder="1" applyAlignment="1">
      <alignment horizontal="center"/>
    </xf>
    <xf fontId="9" fillId="0" borderId="0" numFmtId="2" xfId="1" applyNumberFormat="1" applyFont="1" applyAlignment="1">
      <alignment horizontal="center"/>
    </xf>
    <xf fontId="9" fillId="0" borderId="0" numFmtId="49" xfId="1" applyNumberFormat="1" applyFont="1" applyAlignment="1">
      <alignment horizontal="left"/>
    </xf>
    <xf fontId="9" fillId="0" borderId="0" numFmtId="160" xfId="1" applyNumberFormat="1" applyFont="1" applyAlignment="1">
      <alignment horizontal="center"/>
    </xf>
    <xf fontId="9" fillId="0" borderId="0" numFmtId="1" xfId="1" applyNumberFormat="1" applyFont="1" applyAlignment="1">
      <alignment horizontal="center"/>
    </xf>
    <xf fontId="10" fillId="0" borderId="0" numFmtId="161" xfId="1" applyNumberFormat="1" applyFont="1" applyAlignment="1">
      <alignment horizontal="center"/>
    </xf>
    <xf fontId="10" fillId="0" borderId="7" numFmtId="161" xfId="1" applyNumberFormat="1" applyFont="1" applyBorder="1" applyAlignment="1">
      <alignment horizontal="center"/>
    </xf>
    <xf fontId="11" fillId="0" borderId="8" numFmtId="0" xfId="1" applyFont="1" applyBorder="1" applyAlignment="1">
      <alignment horizontal="center"/>
    </xf>
    <xf fontId="11" fillId="0" borderId="2" numFmtId="0" xfId="1" applyFont="1" applyBorder="1" applyAlignment="1">
      <alignment horizontal="center"/>
    </xf>
    <xf fontId="11" fillId="0" borderId="3" numFmtId="0" xfId="1" applyFont="1" applyBorder="1" applyAlignment="1">
      <alignment horizontal="center"/>
    </xf>
    <xf fontId="11" fillId="0" borderId="8" numFmtId="162" xfId="1" applyNumberFormat="1" applyFont="1" applyBorder="1" applyAlignment="1">
      <alignment horizontal="center"/>
    </xf>
    <xf fontId="11" fillId="0" borderId="0" numFmtId="163" xfId="1" applyNumberFormat="1" applyFont="1" applyAlignment="1">
      <alignment horizontal="center"/>
    </xf>
    <xf fontId="11" fillId="0" borderId="0" numFmtId="161" xfId="1" applyNumberFormat="1" applyFont="1" applyAlignment="1">
      <alignment horizontal="center"/>
    </xf>
    <xf fontId="9" fillId="0" borderId="0" numFmtId="161" xfId="1" applyNumberFormat="1" applyFont="1" applyAlignment="1">
      <alignment horizontal="center"/>
    </xf>
    <xf fontId="9" fillId="0" borderId="0" numFmtId="163" xfId="1" applyNumberFormat="1" applyFont="1" applyAlignment="1">
      <alignment horizontal="center"/>
    </xf>
    <xf fontId="11" fillId="0" borderId="0" numFmtId="164" xfId="1" applyNumberFormat="1" applyFont="1" applyAlignment="1">
      <alignment horizontal="center"/>
    </xf>
    <xf fontId="9" fillId="0" borderId="0" numFmtId="164" xfId="1" applyNumberFormat="1" applyFont="1" applyAlignment="1">
      <alignment horizontal="center"/>
    </xf>
    <xf fontId="9" fillId="0" borderId="0" numFmtId="0" xfId="1" applyFont="1" applyAlignment="1">
      <alignment horizontal="center"/>
    </xf>
    <xf fontId="9" fillId="0" borderId="0" numFmtId="165" xfId="1" applyNumberFormat="1" applyFont="1" applyAlignment="1">
      <alignment horizontal="center"/>
    </xf>
    <xf fontId="11" fillId="0" borderId="0" numFmtId="166" xfId="1" applyNumberFormat="1" applyFont="1" applyAlignment="1">
      <alignment horizontal="center"/>
    </xf>
    <xf fontId="9" fillId="0" borderId="0" numFmtId="162" xfId="1" applyNumberFormat="1" applyFont="1" applyAlignment="1">
      <alignment horizontal="center"/>
    </xf>
    <xf fontId="11" fillId="0" borderId="8" numFmtId="2" xfId="1" applyNumberFormat="1" applyFont="1" applyBorder="1" applyAlignment="1">
      <alignment horizontal="center"/>
    </xf>
    <xf fontId="11" fillId="0" borderId="2" numFmtId="2" xfId="1" applyNumberFormat="1" applyFont="1" applyBorder="1" applyAlignment="1">
      <alignment horizontal="center"/>
    </xf>
    <xf fontId="11" fillId="0" borderId="0" numFmtId="2" xfId="1" applyNumberFormat="1" applyFont="1" applyAlignment="1">
      <alignment horizontal="center"/>
    </xf>
    <xf fontId="11" fillId="0" borderId="7" numFmtId="164" xfId="1" applyNumberFormat="1" applyFont="1" applyBorder="1" applyAlignment="1">
      <alignment horizontal="center"/>
    </xf>
    <xf fontId="9" fillId="0" borderId="0" numFmtId="2" xfId="1" applyNumberFormat="1" applyFont="1" applyAlignment="1">
      <alignment horizontal="center" vertical="center"/>
    </xf>
    <xf fontId="9" fillId="0" borderId="9" numFmtId="49" xfId="1" applyNumberFormat="1" applyFont="1" applyBorder="1" applyAlignment="1">
      <alignment horizontal="left" vertical="center"/>
    </xf>
    <xf fontId="9" fillId="0" borderId="9" numFmtId="2" xfId="1" applyNumberFormat="1" applyFont="1" applyBorder="1" applyAlignment="1">
      <alignment horizontal="center" vertical="center"/>
    </xf>
    <xf fontId="9" fillId="0" borderId="9" numFmtId="160" xfId="1" applyNumberFormat="1" applyFont="1" applyBorder="1" applyAlignment="1">
      <alignment horizontal="center" vertical="center"/>
    </xf>
    <xf fontId="9" fillId="0" borderId="9" numFmtId="1" xfId="1" applyNumberFormat="1" applyFont="1" applyBorder="1" applyAlignment="1">
      <alignment horizontal="center" vertical="center"/>
    </xf>
    <xf fontId="9" fillId="0" borderId="9" numFmtId="161" xfId="1" applyNumberFormat="1" applyFont="1" applyBorder="1" applyAlignment="1">
      <alignment horizontal="center" vertical="center"/>
    </xf>
    <xf fontId="9" fillId="0" borderId="10" numFmtId="161" xfId="1" applyNumberFormat="1" applyFont="1" applyBorder="1" applyAlignment="1">
      <alignment horizontal="center" vertical="center"/>
    </xf>
    <xf fontId="9" fillId="0" borderId="11" numFmtId="0" xfId="1" applyFont="1" applyBorder="1" applyAlignment="1">
      <alignment horizontal="center" vertical="center"/>
    </xf>
    <xf fontId="9" fillId="0" borderId="9" numFmtId="0" xfId="1" applyFont="1" applyBorder="1" applyAlignment="1">
      <alignment horizontal="center" vertical="center"/>
    </xf>
    <xf fontId="9" fillId="0" borderId="10" numFmtId="0" xfId="1" applyFont="1" applyBorder="1" applyAlignment="1">
      <alignment horizontal="center" vertical="center"/>
    </xf>
    <xf fontId="12" fillId="0" borderId="9" numFmtId="162" xfId="1" applyNumberFormat="1" applyFont="1" applyBorder="1" applyAlignment="1">
      <alignment horizontal="center" vertical="center"/>
    </xf>
    <xf fontId="9" fillId="0" borderId="9" numFmtId="163" xfId="1" applyNumberFormat="1" applyFont="1" applyBorder="1" applyAlignment="1">
      <alignment horizontal="center" vertical="center"/>
    </xf>
    <xf fontId="9" fillId="0" borderId="9" numFmtId="162" xfId="1" applyNumberFormat="1" applyFont="1" applyBorder="1" applyAlignment="1">
      <alignment horizontal="center" vertical="center"/>
    </xf>
    <xf fontId="9" fillId="0" borderId="9" numFmtId="164" xfId="1" applyNumberFormat="1" applyFont="1" applyBorder="1" applyAlignment="1">
      <alignment horizontal="center" vertical="center"/>
    </xf>
    <xf fontId="9" fillId="0" borderId="9" numFmtId="165" xfId="1" applyNumberFormat="1" applyFont="1" applyBorder="1" applyAlignment="1">
      <alignment horizontal="center" vertical="center"/>
    </xf>
    <xf fontId="9" fillId="0" borderId="9" numFmtId="166" xfId="1" applyNumberFormat="1" applyFont="1" applyBorder="1" applyAlignment="1">
      <alignment horizontal="center" vertical="center"/>
    </xf>
    <xf fontId="9" fillId="0" borderId="11" numFmtId="2" xfId="1" applyNumberFormat="1" applyFont="1" applyBorder="1" applyAlignment="1">
      <alignment horizontal="center"/>
    </xf>
    <xf fontId="9" fillId="0" borderId="9" numFmtId="2" xfId="1" applyNumberFormat="1" applyFont="1" applyBorder="1" applyAlignment="1">
      <alignment horizontal="center"/>
    </xf>
    <xf fontId="9" fillId="0" borderId="10" numFmtId="164" xfId="1" applyNumberFormat="1" applyFont="1" applyBorder="1" applyAlignment="1">
      <alignment horizontal="center" vertical="center"/>
    </xf>
    <xf fontId="0" fillId="0" borderId="0" numFmtId="0" xfId="0" applyAlignment="1">
      <alignment horizontal="center"/>
    </xf>
    <xf fontId="0" fillId="0" borderId="0" numFmtId="49" xfId="0" applyNumberFormat="1" applyAlignment="1">
      <alignment horizontal="left"/>
    </xf>
    <xf fontId="0" fillId="0" borderId="0" numFmtId="160" xfId="0" applyNumberFormat="1" applyAlignment="1">
      <alignment horizontal="center"/>
    </xf>
    <xf fontId="0" fillId="0" borderId="0" numFmtId="1" xfId="0" applyNumberFormat="1" applyAlignment="1">
      <alignment horizontal="center"/>
    </xf>
    <xf fontId="0" fillId="0" borderId="0" numFmtId="161" xfId="0" applyNumberFormat="1" applyAlignment="1">
      <alignment horizontal="center"/>
    </xf>
    <xf fontId="0" fillId="0" borderId="0" numFmtId="162" xfId="0" applyNumberFormat="1" applyAlignment="1">
      <alignment horizontal="center"/>
    </xf>
    <xf fontId="0" fillId="0" borderId="0" numFmtId="163" xfId="0" applyNumberFormat="1" applyAlignment="1">
      <alignment horizontal="center"/>
    </xf>
    <xf fontId="0" fillId="0" borderId="0" numFmtId="164" xfId="0" applyNumberFormat="1" applyAlignment="1">
      <alignment horizontal="center"/>
    </xf>
    <xf fontId="0" fillId="0" borderId="0" numFmtId="165" xfId="0" applyNumberFormat="1" applyAlignment="1">
      <alignment horizontal="center"/>
    </xf>
    <xf fontId="0" fillId="0" borderId="0" numFmtId="166" xfId="0" applyNumberFormat="1" applyAlignment="1">
      <alignment horizontal="center"/>
    </xf>
    <xf fontId="0" fillId="0" borderId="0" numFmtId="2" xfId="0" applyNumberFormat="1" applyAlignment="1">
      <alignment horizontal="center"/>
    </xf>
    <xf fontId="6" fillId="0" borderId="0" numFmtId="49" xfId="6" applyNumberFormat="1" applyFont="1" applyAlignment="1">
      <alignment horizontal="left"/>
    </xf>
    <xf fontId="2" fillId="0" borderId="0" numFmtId="2" xfId="2" applyNumberFormat="1" applyFont="1" applyAlignment="1">
      <alignment horizontal="center"/>
    </xf>
    <xf fontId="2" fillId="0" borderId="0" numFmtId="49" xfId="2" applyNumberFormat="1" applyFont="1" applyAlignment="1">
      <alignment horizontal="left"/>
    </xf>
    <xf fontId="2" fillId="0" borderId="0" numFmtId="160" xfId="2" applyNumberFormat="1" applyFont="1" applyAlignment="1">
      <alignment horizontal="center"/>
    </xf>
    <xf fontId="2" fillId="0" borderId="0" numFmtId="1" xfId="2" applyNumberFormat="1" applyFont="1" applyAlignment="1">
      <alignment horizontal="center"/>
    </xf>
    <xf fontId="2" fillId="0" borderId="0" numFmtId="161" xfId="2" applyNumberFormat="1" applyFont="1" applyAlignment="1">
      <alignment horizontal="center"/>
    </xf>
    <xf fontId="2" fillId="0" borderId="0" numFmtId="167" xfId="2" applyNumberFormat="1" applyFont="1" applyAlignment="1">
      <alignment horizontal="center"/>
    </xf>
    <xf fontId="2" fillId="0" borderId="0" numFmtId="162" xfId="2" applyNumberFormat="1" applyFont="1" applyAlignment="1">
      <alignment horizontal="center"/>
    </xf>
    <xf fontId="2" fillId="0" borderId="0" numFmtId="163" xfId="2" applyNumberFormat="1" applyFont="1" applyAlignment="1">
      <alignment horizontal="center"/>
    </xf>
    <xf fontId="2" fillId="0" borderId="0" numFmtId="164" xfId="2" applyNumberFormat="1" applyFont="1" applyAlignment="1">
      <alignment horizontal="center"/>
    </xf>
    <xf fontId="2" fillId="0" borderId="0" numFmtId="168" xfId="2" applyNumberFormat="1" applyFont="1" applyAlignment="1">
      <alignment horizontal="center"/>
    </xf>
    <xf fontId="2" fillId="0" borderId="0" numFmtId="165" xfId="2" applyNumberFormat="1" applyFont="1" applyAlignment="1">
      <alignment horizontal="center"/>
    </xf>
    <xf fontId="2" fillId="0" borderId="0" numFmtId="166" xfId="2" applyNumberFormat="1" applyFont="1" applyAlignment="1">
      <alignment horizontal="center"/>
    </xf>
    <xf fontId="2" fillId="0" borderId="0" numFmtId="169" xfId="2" applyNumberFormat="1" applyFont="1" applyAlignment="1">
      <alignment horizontal="center"/>
    </xf>
    <xf fontId="2" fillId="0" borderId="0" numFmtId="170" xfId="2" applyNumberFormat="1" applyFont="1" applyAlignment="1">
      <alignment horizontal="center"/>
    </xf>
    <xf fontId="2" fillId="0" borderId="0" numFmtId="171" xfId="2" applyNumberFormat="1" applyFont="1" applyAlignment="1">
      <alignment horizontal="center"/>
    </xf>
    <xf fontId="2" fillId="0" borderId="0" numFmtId="172" xfId="2" applyNumberFormat="1" applyFont="1" applyAlignment="1">
      <alignment horizontal="center"/>
    </xf>
    <xf fontId="2" fillId="0" borderId="0" numFmtId="173" xfId="2" applyNumberFormat="1" applyFont="1" applyAlignment="1">
      <alignment horizontal="center"/>
    </xf>
    <xf fontId="4" fillId="0" borderId="0" numFmtId="2" xfId="4" applyNumberFormat="1" applyFont="1" applyAlignment="1">
      <alignment horizontal="center"/>
    </xf>
    <xf fontId="4" fillId="0" borderId="0" numFmtId="49" xfId="4" applyNumberFormat="1" applyFont="1" applyAlignment="1">
      <alignment horizontal="left"/>
    </xf>
    <xf fontId="4" fillId="0" borderId="0" numFmtId="160" xfId="4" applyNumberFormat="1" applyFont="1" applyAlignment="1">
      <alignment horizontal="center"/>
    </xf>
    <xf fontId="4" fillId="0" borderId="0" numFmtId="1" xfId="4" applyNumberFormat="1" applyFont="1" applyAlignment="1">
      <alignment horizontal="center"/>
    </xf>
    <xf fontId="4" fillId="0" borderId="0" numFmtId="161" xfId="4" applyNumberFormat="1" applyFont="1" applyAlignment="1">
      <alignment horizontal="center"/>
    </xf>
    <xf fontId="4" fillId="0" borderId="0" numFmtId="0" xfId="4" applyFont="1" applyAlignment="1">
      <alignment horizontal="center"/>
    </xf>
    <xf fontId="4" fillId="0" borderId="0" numFmtId="162" xfId="4" applyNumberFormat="1" applyFont="1" applyAlignment="1">
      <alignment horizontal="center"/>
    </xf>
    <xf fontId="4" fillId="0" borderId="0" numFmtId="163" xfId="4" applyNumberFormat="1" applyFont="1" applyAlignment="1">
      <alignment horizontal="center"/>
    </xf>
    <xf fontId="4" fillId="0" borderId="0" numFmtId="164" xfId="4" applyNumberFormat="1" applyFont="1" applyAlignment="1">
      <alignment horizontal="center"/>
    </xf>
    <xf fontId="4" fillId="0" borderId="0" numFmtId="165" xfId="4" applyNumberFormat="1" applyFont="1" applyAlignment="1">
      <alignment horizontal="center"/>
    </xf>
    <xf fontId="4" fillId="0" borderId="0" numFmtId="166" xfId="4" applyNumberFormat="1" applyFont="1" applyAlignment="1">
      <alignment horizontal="center"/>
    </xf>
    <xf fontId="8" fillId="0" borderId="1" numFmtId="49" xfId="3" applyNumberFormat="1" applyFont="1" applyBorder="1" applyAlignment="1">
      <alignment horizontal="left"/>
    </xf>
    <xf fontId="8" fillId="0" borderId="1" numFmtId="2" xfId="3" applyNumberFormat="1" applyFont="1" applyBorder="1" applyAlignment="1">
      <alignment horizontal="center"/>
    </xf>
    <xf fontId="8" fillId="0" borderId="1" numFmtId="160" xfId="3" applyNumberFormat="1" applyFont="1" applyBorder="1" applyAlignment="1">
      <alignment horizontal="center"/>
    </xf>
    <xf fontId="8" fillId="0" borderId="1" numFmtId="1" xfId="3" applyNumberFormat="1" applyFont="1" applyBorder="1" applyAlignment="1">
      <alignment horizontal="center"/>
    </xf>
    <xf fontId="8" fillId="0" borderId="1" numFmtId="161" xfId="3" applyNumberFormat="1" applyFont="1" applyBorder="1" applyAlignment="1">
      <alignment horizontal="center"/>
    </xf>
    <xf fontId="8" fillId="0" borderId="1" numFmtId="0" xfId="3" applyFont="1" applyBorder="1" applyAlignment="1">
      <alignment horizontal="center"/>
    </xf>
    <xf fontId="8" fillId="0" borderId="1" numFmtId="162" xfId="3" applyNumberFormat="1" applyFont="1" applyBorder="1" applyAlignment="1">
      <alignment horizontal="center"/>
    </xf>
    <xf fontId="8" fillId="0" borderId="1" numFmtId="163" xfId="3" applyNumberFormat="1" applyFont="1" applyBorder="1" applyAlignment="1">
      <alignment horizontal="center"/>
    </xf>
    <xf fontId="8" fillId="0" borderId="1" numFmtId="164" xfId="3" applyNumberFormat="1" applyFont="1" applyBorder="1" applyAlignment="1">
      <alignment horizontal="center"/>
    </xf>
    <xf fontId="8" fillId="0" borderId="1" numFmtId="165" xfId="3" applyNumberFormat="1" applyFont="1" applyBorder="1" applyAlignment="1">
      <alignment horizontal="center"/>
    </xf>
    <xf fontId="8" fillId="0" borderId="1" numFmtId="166" xfId="3" applyNumberFormat="1" applyFont="1" applyBorder="1" applyAlignment="1">
      <alignment horizontal="center"/>
    </xf>
    <xf fontId="0" fillId="2" borderId="0" numFmtId="0" xfId="0" applyFill="1"/>
    <xf fontId="0" fillId="0" borderId="0" numFmtId="0" xfId="0" quotePrefix="1"/>
  </cellXfs>
  <cellStyles count="7">
    <cellStyle name="ColumnLabels" xfId="1"/>
    <cellStyle name="DataRows" xfId="2"/>
    <cellStyle name="EndOfData" xfId="3"/>
    <cellStyle name="Formulas" xfId="4"/>
    <cellStyle name="Lien hypertexte" xfId="5" builtinId="8"/>
    <cellStyle name="Normal" xfId="0" builtinId="0"/>
    <cellStyle name="Sample_Nam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8" Type="http://schemas.openxmlformats.org/officeDocument/2006/relationships/theme" Target="theme/theme1.xml"/><Relationship  Id="rId17" Type="http://schemas.openxmlformats.org/officeDocument/2006/relationships/worksheet" Target="worksheets/sheet17.xml"/><Relationship  Id="rId10" Type="http://schemas.openxmlformats.org/officeDocument/2006/relationships/worksheet" Target="worksheets/sheet10.xml"/><Relationship  Id="rId15" Type="http://schemas.openxmlformats.org/officeDocument/2006/relationships/worksheet" Target="worksheets/sheet15.xml"/><Relationship  Id="rId9" Type="http://schemas.openxmlformats.org/officeDocument/2006/relationships/worksheet" Target="worksheets/sheet9.xml"/><Relationship  Id="rId20" Type="http://schemas.openxmlformats.org/officeDocument/2006/relationships/styles" Target="styles.xml"/><Relationship  Id="rId19" Type="http://schemas.openxmlformats.org/officeDocument/2006/relationships/sharedStrings" Target="sharedStrings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worksheet" Target="worksheets/sheet14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6" Type="http://schemas.openxmlformats.org/officeDocument/2006/relationships/worksheet" Target="worksheets/sheet16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<Relationships xmlns="http://schemas.openxmlformats.org/package/2006/relationships"><Relationship 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9</xdr:col>
      <xdr:colOff>190500</xdr:colOff>
      <xdr:row>7</xdr:row>
      <xdr:rowOff>95250</xdr:rowOff>
    </xdr:from>
    <xdr:ext cx="65" cy="172226"/>
    <xdr:sp>
      <xdr:nvSpPr>
        <xdr:cNvPr id="2" name="ZoneTexte 1"/>
        <xdr:cNvSpPr txBox="1"/>
      </xdr:nvSpPr>
      <xdr:spPr bwMode="auto">
        <a:xfrm>
          <a:off x="7248525" y="1428750"/>
          <a:ext cx="65" cy="172227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>
            <a:defRPr/>
          </a:pP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/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<Relationships xmlns="http://schemas.openxmlformats.org/package/2006/relationships"><Relationship  Id="rId1" Type="http://schemas.openxmlformats.org/officeDocument/2006/relationships/hyperlink" Target="mailto:E2671@1" TargetMode="External"/></Relationships>
</file>

<file path=xl/worksheets/_rels/sheet11.xml.rels><?xml version="1.0" encoding="UTF-8" standalone="yes"?><Relationships xmlns="http://schemas.openxmlformats.org/package/2006/relationships"><Relationship  Id="rId2" Type="http://schemas.openxmlformats.org/officeDocument/2006/relationships/hyperlink" Target="mailto:F3225@3" TargetMode="External"/><Relationship  Id="rId1" Type="http://schemas.openxmlformats.org/officeDocument/2006/relationships/hyperlink" Target="mailto:F3225@1" TargetMode="External"/></Relationships>
</file>

<file path=xl/worksheets/_rels/sheet12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.vml"/><Relationship  Id="rId3" Type="http://schemas.openxmlformats.org/officeDocument/2006/relationships/drawing" Target="../drawings/drawing2.xml"/><Relationship  Id="rId2" Type="http://schemas.openxmlformats.org/officeDocument/2006/relationships/package" Target="../embeddings/Microsoft_Word_Document1.docx"/><Relationship  Id="rId1" Type="http://schemas.openxmlformats.org/officeDocument/2006/relationships/image" Target="../media/image1.emf"/></Relationships>
</file>

<file path=xl/worksheets/_rels/sheet14.xml.rels><?xml version="1.0" encoding="UTF-8" standalone="yes"?><Relationships xmlns="http://schemas.openxmlformats.org/package/2006/relationships"><Relationship  Id="rId1" Type="http://schemas.openxmlformats.org/officeDocument/2006/relationships/hyperlink" Target="mailto:X024@111" TargetMode="External"/></Relationships>
</file>

<file path=xl/worksheets/_rels/sheet15.xml.rels><?xml version="1.0" encoding="UTF-8" standalone="yes"?><Relationships xmlns="http://schemas.openxmlformats.org/package/2006/relationships"><Relationship  Id="rId1" Type="http://schemas.openxmlformats.org/officeDocument/2006/relationships/hyperlink" Target="mailto:EPS1360@1" TargetMode="External"/></Relationships>
</file>

<file path=xl/worksheets/_rels/sheet6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_rels/sheet7.xml.rels><?xml version="1.0" encoding="UTF-8" standalone="yes"?><Relationships xmlns="http://schemas.openxmlformats.org/package/2006/relationships"><Relationship  Id="rId1" Type="http://schemas.openxmlformats.org/officeDocument/2006/relationships/hyperlink" Target="mailto:A2783@1" TargetMode="External"/></Relationships>
</file>

<file path=xl/worksheets/_rels/sheet8.xml.rels><?xml version="1.0" encoding="UTF-8" standalone="yes"?><Relationships xmlns="http://schemas.openxmlformats.org/package/2006/relationships"><Relationship  Id="rId1" Type="http://schemas.openxmlformats.org/officeDocument/2006/relationships/hyperlink" Target="mailto:R12882@1" TargetMode="External"/></Relationships>
</file>

<file path=xl/worksheets/_rels/sheet9.xml.rels><?xml version="1.0" encoding="UTF-8" standalone="yes"?><Relationships xmlns="http://schemas.openxmlformats.org/package/2006/relationships"><Relationship  Id="rId1" Type="http://schemas.openxmlformats.org/officeDocument/2006/relationships/hyperlink" Target="mailto:D2537@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1" activeCellId="0" sqref="A1:I1"/>
    </sheetView>
  </sheetViews>
  <sheetFormatPr baseColWidth="10" defaultRowHeight="14.25"/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>
      <c r="A2" t="s">
        <v>9</v>
      </c>
      <c r="B2" t="s">
        <v>10</v>
      </c>
      <c r="C2">
        <v>-25</v>
      </c>
      <c r="D2">
        <v>125</v>
      </c>
      <c r="E2" t="s">
        <v>11</v>
      </c>
      <c r="F2" t="s">
        <v>10</v>
      </c>
      <c r="H2" t="s">
        <v>12</v>
      </c>
      <c r="I2" t="s">
        <v>13</v>
      </c>
    </row>
    <row r="3">
      <c r="A3" t="s">
        <v>14</v>
      </c>
      <c r="B3" t="s">
        <v>15</v>
      </c>
      <c r="C3">
        <v>100</v>
      </c>
      <c r="D3">
        <v>100</v>
      </c>
      <c r="E3" t="s">
        <v>11</v>
      </c>
      <c r="F3" t="s">
        <v>15</v>
      </c>
      <c r="H3" t="s">
        <v>12</v>
      </c>
      <c r="I3" t="s">
        <v>13</v>
      </c>
    </row>
    <row r="4">
      <c r="A4" t="s">
        <v>16</v>
      </c>
      <c r="B4" t="s">
        <v>17</v>
      </c>
      <c r="C4">
        <v>200</v>
      </c>
      <c r="D4">
        <v>0</v>
      </c>
      <c r="E4" t="s">
        <v>11</v>
      </c>
      <c r="F4" t="s">
        <v>17</v>
      </c>
      <c r="H4" t="s">
        <v>12</v>
      </c>
      <c r="I4" t="s">
        <v>13</v>
      </c>
    </row>
    <row r="5">
      <c r="A5" t="s">
        <v>18</v>
      </c>
      <c r="B5" t="s">
        <v>19</v>
      </c>
      <c r="C5">
        <v>200</v>
      </c>
      <c r="D5">
        <v>0</v>
      </c>
      <c r="E5" t="s">
        <v>6</v>
      </c>
      <c r="G5">
        <v>-50</v>
      </c>
    </row>
    <row r="6">
      <c r="A6" t="s">
        <v>20</v>
      </c>
      <c r="B6" t="s">
        <v>21</v>
      </c>
      <c r="C6">
        <v>200</v>
      </c>
      <c r="D6">
        <v>395</v>
      </c>
      <c r="E6" t="s">
        <v>11</v>
      </c>
      <c r="F6" t="s">
        <v>21</v>
      </c>
      <c r="G6">
        <v>50</v>
      </c>
      <c r="H6" t="s">
        <v>22</v>
      </c>
      <c r="I6" t="s">
        <v>23</v>
      </c>
    </row>
    <row r="7">
      <c r="A7" t="s">
        <v>24</v>
      </c>
      <c r="B7" t="s">
        <v>25</v>
      </c>
      <c r="C7">
        <v>595</v>
      </c>
      <c r="D7">
        <v>346</v>
      </c>
      <c r="E7" t="s">
        <v>11</v>
      </c>
      <c r="F7" t="s">
        <v>25</v>
      </c>
      <c r="H7" t="s">
        <v>22</v>
      </c>
      <c r="I7" t="s">
        <v>23</v>
      </c>
    </row>
    <row r="8">
      <c r="A8" t="s">
        <v>26</v>
      </c>
      <c r="B8" t="s">
        <v>27</v>
      </c>
      <c r="C8">
        <v>941</v>
      </c>
      <c r="D8">
        <v>659</v>
      </c>
      <c r="E8" t="s">
        <v>11</v>
      </c>
      <c r="F8" t="s">
        <v>27</v>
      </c>
      <c r="H8" t="s">
        <v>22</v>
      </c>
      <c r="I8" t="s">
        <v>13</v>
      </c>
    </row>
    <row r="9">
      <c r="A9" t="s">
        <v>28</v>
      </c>
      <c r="B9" t="s">
        <v>29</v>
      </c>
      <c r="C9">
        <v>1600</v>
      </c>
      <c r="D9">
        <v>200</v>
      </c>
      <c r="E9" t="s">
        <v>11</v>
      </c>
      <c r="F9" t="s">
        <v>29</v>
      </c>
      <c r="H9" t="s">
        <v>30</v>
      </c>
      <c r="I9" t="s">
        <v>23</v>
      </c>
    </row>
    <row r="10">
      <c r="A10" t="s">
        <v>31</v>
      </c>
      <c r="B10" t="s">
        <v>32</v>
      </c>
      <c r="C10">
        <v>1800</v>
      </c>
      <c r="D10">
        <v>200</v>
      </c>
      <c r="E10" t="s">
        <v>11</v>
      </c>
      <c r="F10" t="s">
        <v>32</v>
      </c>
      <c r="H10" t="s">
        <v>30</v>
      </c>
      <c r="I10" t="s">
        <v>23</v>
      </c>
    </row>
    <row r="11">
      <c r="A11" t="s">
        <v>33</v>
      </c>
      <c r="B11" t="s">
        <v>34</v>
      </c>
      <c r="C11">
        <v>2000</v>
      </c>
      <c r="D11">
        <v>455</v>
      </c>
      <c r="E11" t="s">
        <v>11</v>
      </c>
      <c r="F11" t="s">
        <v>34</v>
      </c>
      <c r="H11" t="s">
        <v>30</v>
      </c>
      <c r="I11" t="s">
        <v>35</v>
      </c>
    </row>
    <row r="12">
      <c r="A12" t="s">
        <v>36</v>
      </c>
      <c r="B12" t="s">
        <v>37</v>
      </c>
      <c r="C12">
        <v>2455</v>
      </c>
      <c r="D12">
        <v>0</v>
      </c>
      <c r="E12" t="s">
        <v>6</v>
      </c>
      <c r="F12" t="s">
        <v>38</v>
      </c>
      <c r="G12">
        <v>-1530</v>
      </c>
    </row>
    <row r="13">
      <c r="A13" t="s">
        <v>39</v>
      </c>
      <c r="B13" t="s">
        <v>40</v>
      </c>
      <c r="C13">
        <v>2455</v>
      </c>
      <c r="D13">
        <v>0</v>
      </c>
      <c r="E13" t="s">
        <v>41</v>
      </c>
    </row>
    <row r="14">
      <c r="A14" t="s">
        <v>42</v>
      </c>
      <c r="B14" t="s">
        <v>43</v>
      </c>
      <c r="C14">
        <v>2455</v>
      </c>
      <c r="D14">
        <v>0</v>
      </c>
      <c r="E14" t="s">
        <v>11</v>
      </c>
      <c r="F14" t="s">
        <v>44</v>
      </c>
      <c r="G14">
        <v>200</v>
      </c>
      <c r="H14" t="s">
        <v>45</v>
      </c>
      <c r="I14" t="s">
        <v>35</v>
      </c>
    </row>
    <row r="15">
      <c r="A15" t="s">
        <v>46</v>
      </c>
      <c r="B15" t="s">
        <v>47</v>
      </c>
      <c r="C15">
        <v>2455</v>
      </c>
      <c r="D15">
        <v>0</v>
      </c>
      <c r="E15" t="s">
        <v>11</v>
      </c>
      <c r="F15" t="s">
        <v>48</v>
      </c>
      <c r="G15">
        <v>200</v>
      </c>
      <c r="H15" t="s">
        <v>45</v>
      </c>
      <c r="I15" t="s">
        <v>49</v>
      </c>
    </row>
    <row r="16">
      <c r="A16" t="s">
        <v>50</v>
      </c>
      <c r="B16" t="s">
        <v>51</v>
      </c>
      <c r="C16">
        <v>2455</v>
      </c>
      <c r="D16">
        <v>0</v>
      </c>
      <c r="E16" t="s">
        <v>11</v>
      </c>
      <c r="F16" t="s">
        <v>52</v>
      </c>
      <c r="G16">
        <v>350</v>
      </c>
      <c r="H16" t="s">
        <v>53</v>
      </c>
      <c r="I16" t="s">
        <v>13</v>
      </c>
    </row>
    <row r="17">
      <c r="A17" t="s">
        <v>54</v>
      </c>
      <c r="B17" t="s">
        <v>55</v>
      </c>
      <c r="C17">
        <v>2455</v>
      </c>
      <c r="D17">
        <v>0</v>
      </c>
      <c r="E17" t="s">
        <v>11</v>
      </c>
      <c r="F17" t="s">
        <v>56</v>
      </c>
      <c r="G17">
        <v>400</v>
      </c>
      <c r="H17" t="s">
        <v>45</v>
      </c>
      <c r="I17" t="s">
        <v>13</v>
      </c>
    </row>
    <row r="18">
      <c r="A18" t="s">
        <v>57</v>
      </c>
      <c r="B18" t="s">
        <v>58</v>
      </c>
      <c r="C18">
        <v>2455</v>
      </c>
      <c r="D18">
        <v>0</v>
      </c>
      <c r="E18" t="s">
        <v>11</v>
      </c>
      <c r="F18" t="s">
        <v>59</v>
      </c>
      <c r="G18">
        <v>30</v>
      </c>
      <c r="H18" t="s">
        <v>60</v>
      </c>
      <c r="I18" t="s">
        <v>23</v>
      </c>
    </row>
    <row r="19">
      <c r="A19" t="s">
        <v>61</v>
      </c>
      <c r="B19" t="s">
        <v>62</v>
      </c>
      <c r="C19">
        <v>2455</v>
      </c>
      <c r="D19">
        <v>0</v>
      </c>
      <c r="E19" t="s">
        <v>11</v>
      </c>
      <c r="F19" t="s">
        <v>63</v>
      </c>
      <c r="G19">
        <v>250</v>
      </c>
      <c r="H19" t="s">
        <v>64</v>
      </c>
      <c r="I19" t="s">
        <v>49</v>
      </c>
    </row>
    <row r="20">
      <c r="A20" t="s">
        <v>65</v>
      </c>
      <c r="B20" t="s">
        <v>66</v>
      </c>
      <c r="C20">
        <v>2455</v>
      </c>
      <c r="D20">
        <v>105</v>
      </c>
      <c r="E20" t="s">
        <v>11</v>
      </c>
      <c r="F20" t="s">
        <v>67</v>
      </c>
      <c r="G20">
        <v>100</v>
      </c>
      <c r="H20" t="s">
        <v>68</v>
      </c>
      <c r="I20" t="s">
        <v>13</v>
      </c>
    </row>
    <row r="21">
      <c r="A21" t="s">
        <v>69</v>
      </c>
      <c r="B21" t="s">
        <v>70</v>
      </c>
      <c r="C21">
        <v>2560</v>
      </c>
      <c r="D21">
        <v>0</v>
      </c>
      <c r="E21" t="s">
        <v>6</v>
      </c>
      <c r="F21" t="s">
        <v>71</v>
      </c>
      <c r="G21">
        <v>-70</v>
      </c>
    </row>
    <row r="22">
      <c r="A22" t="s">
        <v>72</v>
      </c>
      <c r="B22" t="s">
        <v>73</v>
      </c>
      <c r="C22">
        <v>2560</v>
      </c>
      <c r="D22">
        <v>0</v>
      </c>
      <c r="E22" t="s">
        <v>11</v>
      </c>
      <c r="F22" t="s">
        <v>73</v>
      </c>
      <c r="G22">
        <v>50</v>
      </c>
      <c r="H22" t="s">
        <v>68</v>
      </c>
      <c r="I22" t="s">
        <v>13</v>
      </c>
    </row>
    <row r="23">
      <c r="A23" t="s">
        <v>74</v>
      </c>
      <c r="B23" t="s">
        <v>75</v>
      </c>
      <c r="C23">
        <v>2560</v>
      </c>
      <c r="D23">
        <v>90</v>
      </c>
      <c r="E23" t="s">
        <v>11</v>
      </c>
      <c r="F23" t="s">
        <v>75</v>
      </c>
      <c r="G23">
        <v>20</v>
      </c>
      <c r="H23" t="s">
        <v>68</v>
      </c>
      <c r="I23" t="s">
        <v>13</v>
      </c>
    </row>
    <row r="24">
      <c r="A24" t="s">
        <v>76</v>
      </c>
      <c r="B24" t="s">
        <v>77</v>
      </c>
      <c r="C24">
        <v>2650</v>
      </c>
      <c r="D24">
        <v>25</v>
      </c>
      <c r="E24" t="s">
        <v>11</v>
      </c>
      <c r="F24" t="s">
        <v>77</v>
      </c>
      <c r="H24" t="s">
        <v>78</v>
      </c>
      <c r="I24" t="s">
        <v>13</v>
      </c>
    </row>
    <row r="25">
      <c r="A25" t="s">
        <v>79</v>
      </c>
      <c r="B25" t="s">
        <v>80</v>
      </c>
      <c r="C25">
        <v>2675</v>
      </c>
      <c r="D25">
        <v>50</v>
      </c>
      <c r="E25" t="s">
        <v>11</v>
      </c>
      <c r="F25" t="s">
        <v>80</v>
      </c>
      <c r="H25" t="s">
        <v>78</v>
      </c>
      <c r="I25" t="s">
        <v>13</v>
      </c>
    </row>
    <row r="26">
      <c r="A26" t="s">
        <v>81</v>
      </c>
      <c r="B26" t="s">
        <v>82</v>
      </c>
      <c r="C26">
        <v>2725</v>
      </c>
      <c r="D26">
        <v>50</v>
      </c>
      <c r="E26" t="s">
        <v>11</v>
      </c>
      <c r="F26" t="s">
        <v>82</v>
      </c>
      <c r="H26" t="s">
        <v>78</v>
      </c>
      <c r="I26" t="s">
        <v>13</v>
      </c>
    </row>
    <row r="27">
      <c r="A27" t="s">
        <v>83</v>
      </c>
      <c r="B27" t="s">
        <v>84</v>
      </c>
      <c r="C27">
        <v>2775</v>
      </c>
      <c r="D27">
        <v>75</v>
      </c>
      <c r="E27" t="s">
        <v>11</v>
      </c>
      <c r="F27" t="s">
        <v>84</v>
      </c>
      <c r="H27" t="s">
        <v>85</v>
      </c>
      <c r="I27" t="s">
        <v>13</v>
      </c>
    </row>
    <row r="28">
      <c r="A28" t="s">
        <v>86</v>
      </c>
      <c r="B28" t="s">
        <v>87</v>
      </c>
      <c r="C28">
        <v>2850</v>
      </c>
      <c r="D28">
        <v>275</v>
      </c>
      <c r="E28" t="s">
        <v>11</v>
      </c>
      <c r="F28" t="s">
        <v>87</v>
      </c>
      <c r="H28" t="s">
        <v>85</v>
      </c>
      <c r="I28" t="s">
        <v>13</v>
      </c>
    </row>
    <row r="29">
      <c r="A29" t="s">
        <v>88</v>
      </c>
      <c r="B29" t="s">
        <v>89</v>
      </c>
      <c r="C29">
        <v>3125</v>
      </c>
      <c r="D29">
        <v>50</v>
      </c>
      <c r="E29" t="s">
        <v>11</v>
      </c>
      <c r="F29" t="s">
        <v>89</v>
      </c>
      <c r="H29" t="s">
        <v>85</v>
      </c>
      <c r="I29" t="s">
        <v>13</v>
      </c>
    </row>
    <row r="30">
      <c r="A30" t="s">
        <v>90</v>
      </c>
      <c r="B30" t="s">
        <v>91</v>
      </c>
      <c r="C30">
        <v>3175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2" activeCellId="0" sqref="A2:A22"/>
    </sheetView>
  </sheetViews>
  <sheetFormatPr baseColWidth="10" defaultRowHeight="15"/>
  <sheetData>
    <row r="1">
      <c r="A1" t="s">
        <v>293</v>
      </c>
      <c r="B1" t="s">
        <v>333</v>
      </c>
      <c r="C1" t="s">
        <v>334</v>
      </c>
      <c r="D1" t="s">
        <v>296</v>
      </c>
      <c r="E1" t="s">
        <v>297</v>
      </c>
      <c r="F1" t="s">
        <v>335</v>
      </c>
      <c r="G1" t="s">
        <v>299</v>
      </c>
      <c r="H1" t="s">
        <v>336</v>
      </c>
      <c r="I1" t="s">
        <v>301</v>
      </c>
      <c r="J1" t="s">
        <v>302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463</v>
      </c>
      <c r="V1" t="s">
        <v>300</v>
      </c>
    </row>
    <row r="2">
      <c r="A2" s="3" t="s">
        <v>585</v>
      </c>
      <c r="B2">
        <v>1</v>
      </c>
      <c r="C2" s="4">
        <v>4.1199999999999999e-05</v>
      </c>
      <c r="D2" s="4">
        <f>C2/0.000054</f>
        <v>0.76296296296296295</v>
      </c>
      <c r="E2">
        <v>2</v>
      </c>
      <c r="F2">
        <v>18.567652292576419</v>
      </c>
      <c r="G2">
        <v>0.241503919883861</v>
      </c>
      <c r="H2">
        <v>1850</v>
      </c>
      <c r="I2">
        <v>1</v>
      </c>
      <c r="J2">
        <v>1</v>
      </c>
      <c r="N2" t="str">
        <f t="shared" ref="N2:N65" si="50">IF(E2=1,F2,"")</f>
        <v/>
      </c>
      <c r="O2">
        <f t="shared" ref="O2:O65" si="51">IF(E2=2,F2,"")</f>
        <v>18.567652292576419</v>
      </c>
      <c r="P2">
        <f>AVERAGE(G11,G13,G17)</f>
        <v>0.25648615094710037</v>
      </c>
      <c r="Q2">
        <f>MIN(N2:N124)</f>
        <v>9.103149935371178</v>
      </c>
      <c r="R2">
        <f>AVERAGE(N2:N124)</f>
        <v>11.446909903639011</v>
      </c>
      <c r="S2">
        <f>MAX(N2:N124)</f>
        <v>13.874269604366813</v>
      </c>
      <c r="T2">
        <f>COUNT(N2:N124)</f>
        <v>3</v>
      </c>
      <c r="U2">
        <v>140</v>
      </c>
      <c r="V2">
        <v>2673</v>
      </c>
    </row>
    <row r="3">
      <c r="A3" s="3" t="s">
        <v>586</v>
      </c>
      <c r="B3">
        <v>2</v>
      </c>
      <c r="C3" s="4">
        <v>2.6845699999999999e-05</v>
      </c>
      <c r="D3" s="4">
        <f>C3/0.000048</f>
        <v>0.55928541666666665</v>
      </c>
      <c r="E3">
        <v>2</v>
      </c>
      <c r="F3">
        <v>19.348713075982534</v>
      </c>
      <c r="G3">
        <v>0.24087577135970223</v>
      </c>
      <c r="H3">
        <v>1850</v>
      </c>
      <c r="I3">
        <v>2</v>
      </c>
      <c r="J3">
        <v>2</v>
      </c>
      <c r="N3" t="str">
        <f t="shared" si="50"/>
        <v/>
      </c>
      <c r="O3">
        <f t="shared" si="51"/>
        <v>19.348713075982534</v>
      </c>
      <c r="U3">
        <v>140</v>
      </c>
      <c r="V3">
        <v>2673</v>
      </c>
    </row>
    <row r="4">
      <c r="A4" s="3" t="s">
        <v>587</v>
      </c>
      <c r="B4">
        <v>3</v>
      </c>
      <c r="C4" s="4">
        <v>3.9444999999999999e-05</v>
      </c>
      <c r="D4" s="4">
        <f>C4/0.000047</f>
        <v>0.83925531914893625</v>
      </c>
      <c r="E4">
        <v>2</v>
      </c>
      <c r="F4">
        <v>18.274259859388646</v>
      </c>
      <c r="G4">
        <v>0.23601503285445602</v>
      </c>
      <c r="H4">
        <v>1850</v>
      </c>
      <c r="I4">
        <v>3</v>
      </c>
      <c r="J4">
        <v>3</v>
      </c>
      <c r="N4" t="str">
        <f t="shared" si="50"/>
        <v/>
      </c>
      <c r="O4">
        <f t="shared" si="51"/>
        <v>18.274259859388646</v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140</v>
      </c>
      <c r="V4">
        <v>2673</v>
      </c>
    </row>
    <row r="5">
      <c r="A5" s="3" t="s">
        <v>588</v>
      </c>
      <c r="B5">
        <v>4</v>
      </c>
      <c r="C5" s="4">
        <v>4.72269e-05</v>
      </c>
      <c r="D5" s="4">
        <f>C5/0.000068</f>
        <v>0.69451323529411768</v>
      </c>
      <c r="E5">
        <v>2</v>
      </c>
      <c r="F5">
        <v>18.983904642794759</v>
      </c>
      <c r="G5">
        <v>0.2686129055810989</v>
      </c>
      <c r="H5">
        <v>1850</v>
      </c>
      <c r="I5">
        <v>4</v>
      </c>
      <c r="J5">
        <v>4</v>
      </c>
      <c r="N5" t="str">
        <f t="shared" si="50"/>
        <v/>
      </c>
      <c r="O5">
        <f t="shared" si="51"/>
        <v>18.983904642794759</v>
      </c>
      <c r="P5">
        <f>AVERAGE(G2:G10,G12,G14:G16,G18:G22)</f>
        <v>0.23267139735871345</v>
      </c>
      <c r="Q5">
        <f>MIN(O2:O124)</f>
        <v>17.144046840174671</v>
      </c>
      <c r="R5">
        <f>AVERAGE(O2:O124)</f>
        <v>19.496301411478477</v>
      </c>
      <c r="S5">
        <f>MAX(O2:O124)</f>
        <v>22.311660151965064</v>
      </c>
      <c r="T5">
        <f>COUNT(O2:O124)</f>
        <v>14</v>
      </c>
      <c r="U5">
        <v>140</v>
      </c>
      <c r="V5">
        <v>2673</v>
      </c>
    </row>
    <row r="6">
      <c r="A6" s="3" t="s">
        <v>589</v>
      </c>
      <c r="B6">
        <v>5</v>
      </c>
      <c r="C6" s="4">
        <v>2.15598e-05</v>
      </c>
      <c r="D6" s="4">
        <f>C6/0.000038</f>
        <v>0.56736315789473679</v>
      </c>
      <c r="E6">
        <v>2</v>
      </c>
      <c r="F6">
        <v>19.593648056768558</v>
      </c>
      <c r="G6">
        <v>0.24745464822703644</v>
      </c>
      <c r="H6">
        <v>1850</v>
      </c>
      <c r="I6">
        <v>5</v>
      </c>
      <c r="J6">
        <v>5</v>
      </c>
      <c r="N6" t="str">
        <f t="shared" si="50"/>
        <v/>
      </c>
      <c r="O6">
        <f t="shared" si="51"/>
        <v>19.593648056768558</v>
      </c>
      <c r="U6">
        <v>140</v>
      </c>
      <c r="V6">
        <v>2673</v>
      </c>
    </row>
    <row r="7">
      <c r="A7" s="3" t="s">
        <v>590</v>
      </c>
      <c r="B7">
        <v>6</v>
      </c>
      <c r="C7" s="4">
        <v>7.4668900000000006e-05</v>
      </c>
      <c r="D7" s="4">
        <f>C7/0.000097</f>
        <v>0.76978247422680424</v>
      </c>
      <c r="E7">
        <v>2</v>
      </c>
      <c r="F7">
        <v>17.144046840174671</v>
      </c>
      <c r="G7">
        <v>0.23193636188371661</v>
      </c>
      <c r="H7">
        <v>1850</v>
      </c>
      <c r="I7">
        <v>6</v>
      </c>
      <c r="J7">
        <v>6</v>
      </c>
      <c r="N7" t="str">
        <f t="shared" si="50"/>
        <v/>
      </c>
      <c r="O7">
        <f t="shared" si="51"/>
        <v>17.144046840174671</v>
      </c>
      <c r="U7">
        <v>140</v>
      </c>
      <c r="V7">
        <v>2673</v>
      </c>
    </row>
    <row r="8">
      <c r="A8" s="3" t="s">
        <v>591</v>
      </c>
      <c r="B8">
        <v>7</v>
      </c>
      <c r="C8" s="4">
        <v>2.355e-05</v>
      </c>
      <c r="D8" s="4">
        <f>C8/0.00008</f>
        <v>0.294375</v>
      </c>
      <c r="E8">
        <v>2</v>
      </c>
      <c r="F8">
        <v>20.783373623580786</v>
      </c>
      <c r="G8">
        <v>0.25798132698342635</v>
      </c>
      <c r="H8">
        <v>1850</v>
      </c>
      <c r="I8">
        <v>7</v>
      </c>
      <c r="J8">
        <v>7</v>
      </c>
      <c r="N8" t="str">
        <f t="shared" si="50"/>
        <v/>
      </c>
      <c r="O8">
        <f t="shared" si="51"/>
        <v>20.783373623580786</v>
      </c>
      <c r="U8">
        <v>140</v>
      </c>
      <c r="V8">
        <v>2673</v>
      </c>
    </row>
    <row r="9">
      <c r="A9" s="3" t="s">
        <v>592</v>
      </c>
      <c r="B9">
        <v>8</v>
      </c>
      <c r="D9" s="4"/>
      <c r="E9">
        <v>3</v>
      </c>
      <c r="F9">
        <v>16.783826406986901</v>
      </c>
      <c r="G9">
        <v>0.21747945452650361</v>
      </c>
      <c r="H9">
        <v>1850</v>
      </c>
      <c r="I9">
        <v>9</v>
      </c>
      <c r="J9">
        <v>9</v>
      </c>
      <c r="N9" t="str">
        <f t="shared" si="50"/>
        <v/>
      </c>
      <c r="O9" t="str">
        <f t="shared" si="51"/>
        <v/>
      </c>
      <c r="U9">
        <v>140</v>
      </c>
      <c r="V9">
        <v>2673</v>
      </c>
    </row>
    <row r="10">
      <c r="A10" s="3" t="s">
        <v>593</v>
      </c>
      <c r="B10">
        <v>9</v>
      </c>
      <c r="C10" s="4">
        <v>1.8554099999999999e-05</v>
      </c>
      <c r="D10" s="4">
        <f>C10/0.00011</f>
        <v>0.16867363636363636</v>
      </c>
      <c r="E10">
        <v>2</v>
      </c>
      <c r="F10">
        <v>20.975562190393013</v>
      </c>
      <c r="G10">
        <v>0.22016959186408996</v>
      </c>
      <c r="H10">
        <v>1850</v>
      </c>
      <c r="I10">
        <v>11</v>
      </c>
      <c r="J10">
        <v>11</v>
      </c>
      <c r="N10" t="str">
        <f t="shared" si="50"/>
        <v/>
      </c>
      <c r="O10">
        <f t="shared" si="51"/>
        <v>20.975562190393013</v>
      </c>
      <c r="U10">
        <v>140</v>
      </c>
      <c r="V10">
        <v>2673</v>
      </c>
    </row>
    <row r="11">
      <c r="A11" s="3" t="s">
        <v>594</v>
      </c>
      <c r="B11">
        <v>10</v>
      </c>
      <c r="E11">
        <v>1</v>
      </c>
      <c r="F11">
        <v>13.874269604366813</v>
      </c>
      <c r="G11">
        <v>0.24753061013324057</v>
      </c>
      <c r="H11">
        <v>1850</v>
      </c>
      <c r="I11">
        <v>14</v>
      </c>
      <c r="J11">
        <v>14</v>
      </c>
      <c r="N11">
        <f t="shared" si="50"/>
        <v>13.874269604366813</v>
      </c>
      <c r="O11" t="str">
        <f t="shared" si="51"/>
        <v/>
      </c>
      <c r="U11">
        <v>140</v>
      </c>
      <c r="V11">
        <v>2673</v>
      </c>
    </row>
    <row r="12">
      <c r="A12" s="3" t="s">
        <v>595</v>
      </c>
      <c r="B12">
        <v>11</v>
      </c>
      <c r="C12" s="4">
        <v>8.1884499999999998e-05</v>
      </c>
      <c r="D12" s="4">
        <f>C12/0.000112</f>
        <v>0.73111160714285717</v>
      </c>
      <c r="E12">
        <v>2</v>
      </c>
      <c r="F12">
        <v>19.042773387772925</v>
      </c>
      <c r="G12">
        <v>0.23091378036655055</v>
      </c>
      <c r="H12">
        <v>1850</v>
      </c>
      <c r="I12">
        <v>15</v>
      </c>
      <c r="J12">
        <v>15</v>
      </c>
      <c r="N12" t="str">
        <f t="shared" si="50"/>
        <v/>
      </c>
      <c r="O12">
        <f t="shared" si="51"/>
        <v>19.042773387772925</v>
      </c>
      <c r="U12">
        <v>140</v>
      </c>
      <c r="V12">
        <v>2673</v>
      </c>
    </row>
    <row r="13">
      <c r="A13" s="3" t="s">
        <v>596</v>
      </c>
      <c r="B13">
        <v>12</v>
      </c>
      <c r="E13">
        <v>1</v>
      </c>
      <c r="F13">
        <v>11.363310171179037</v>
      </c>
      <c r="G13">
        <v>0.24029682714762912</v>
      </c>
      <c r="H13">
        <v>1850</v>
      </c>
      <c r="I13">
        <v>17</v>
      </c>
      <c r="J13">
        <v>17</v>
      </c>
      <c r="N13">
        <f t="shared" si="50"/>
        <v>11.363310171179037</v>
      </c>
      <c r="O13" t="str">
        <f t="shared" si="51"/>
        <v/>
      </c>
      <c r="U13">
        <v>140</v>
      </c>
      <c r="V13">
        <v>2673</v>
      </c>
    </row>
    <row r="14">
      <c r="A14" s="3" t="s">
        <v>597</v>
      </c>
      <c r="B14">
        <v>13</v>
      </c>
      <c r="E14">
        <v>3</v>
      </c>
      <c r="F14">
        <v>18.31340595458515</v>
      </c>
      <c r="G14">
        <v>0.21135721340328073</v>
      </c>
      <c r="H14">
        <v>1850</v>
      </c>
      <c r="I14">
        <v>20</v>
      </c>
      <c r="J14">
        <v>20</v>
      </c>
      <c r="N14" t="str">
        <f t="shared" si="50"/>
        <v/>
      </c>
      <c r="O14" t="str">
        <f t="shared" si="51"/>
        <v/>
      </c>
      <c r="U14">
        <v>140</v>
      </c>
      <c r="V14">
        <v>2673</v>
      </c>
    </row>
    <row r="15">
      <c r="A15" s="3" t="s">
        <v>598</v>
      </c>
      <c r="B15">
        <v>14</v>
      </c>
      <c r="C15" s="4">
        <v>4.5411229999999999e-05</v>
      </c>
      <c r="D15" s="4">
        <f>C15/0.000055</f>
        <v>0.82565872727272727</v>
      </c>
      <c r="E15">
        <v>2</v>
      </c>
      <c r="F15">
        <v>19.064575737991266</v>
      </c>
      <c r="G15">
        <v>0.22484454069528473</v>
      </c>
      <c r="H15">
        <v>1850</v>
      </c>
      <c r="I15">
        <v>21</v>
      </c>
      <c r="J15">
        <v>21</v>
      </c>
      <c r="N15" t="str">
        <f t="shared" si="50"/>
        <v/>
      </c>
      <c r="O15">
        <f t="shared" si="51"/>
        <v>19.064575737991266</v>
      </c>
      <c r="U15">
        <v>140</v>
      </c>
      <c r="V15">
        <v>2673</v>
      </c>
    </row>
    <row r="16">
      <c r="A16" s="3" t="s">
        <v>599</v>
      </c>
      <c r="B16">
        <v>15</v>
      </c>
      <c r="C16" s="4">
        <v>2.45871e-05</v>
      </c>
      <c r="D16" s="4">
        <f>C16/0.00009</f>
        <v>0.27318999999999999</v>
      </c>
      <c r="E16">
        <v>2</v>
      </c>
      <c r="F16">
        <v>22.311660151965064</v>
      </c>
      <c r="G16">
        <v>0.22741466715598524</v>
      </c>
      <c r="H16">
        <v>1850</v>
      </c>
      <c r="N16" t="str">
        <f t="shared" si="50"/>
        <v/>
      </c>
      <c r="O16">
        <f t="shared" si="51"/>
        <v>22.311660151965064</v>
      </c>
      <c r="U16">
        <v>140</v>
      </c>
      <c r="V16">
        <v>2673</v>
      </c>
    </row>
    <row r="17">
      <c r="A17" s="3" t="s">
        <v>600</v>
      </c>
      <c r="B17">
        <v>16</v>
      </c>
      <c r="D17" s="4"/>
      <c r="E17">
        <v>1</v>
      </c>
      <c r="F17">
        <v>9.103149935371178</v>
      </c>
      <c r="G17">
        <v>0.28163101556043135</v>
      </c>
      <c r="H17">
        <v>1850</v>
      </c>
      <c r="N17">
        <f t="shared" si="50"/>
        <v>9.103149935371178</v>
      </c>
      <c r="O17" t="str">
        <f t="shared" si="51"/>
        <v/>
      </c>
      <c r="U17">
        <v>140</v>
      </c>
      <c r="V17">
        <v>2673</v>
      </c>
    </row>
    <row r="18">
      <c r="A18" s="3" t="s">
        <v>601</v>
      </c>
      <c r="B18">
        <v>17</v>
      </c>
      <c r="C18" s="4">
        <v>1.453e-05</v>
      </c>
      <c r="D18" s="4">
        <f>C18/0.00006</f>
        <v>0.24216666666666667</v>
      </c>
      <c r="E18">
        <v>2</v>
      </c>
      <c r="F18">
        <v>20.534791718777292</v>
      </c>
      <c r="G18">
        <v>0.23643604444185398</v>
      </c>
      <c r="H18">
        <v>1850</v>
      </c>
      <c r="N18" t="str">
        <f t="shared" si="50"/>
        <v/>
      </c>
      <c r="O18">
        <f t="shared" si="51"/>
        <v>20.534791718777292</v>
      </c>
      <c r="U18">
        <v>140</v>
      </c>
      <c r="V18">
        <v>2673</v>
      </c>
    </row>
    <row r="19">
      <c r="A19" s="3" t="s">
        <v>602</v>
      </c>
      <c r="B19">
        <v>18</v>
      </c>
      <c r="D19" s="4"/>
      <c r="E19">
        <v>3</v>
      </c>
      <c r="F19">
        <v>19.338634502183403</v>
      </c>
      <c r="G19">
        <v>0.21881930615349632</v>
      </c>
      <c r="H19">
        <v>1850</v>
      </c>
      <c r="N19" t="str">
        <f t="shared" si="50"/>
        <v/>
      </c>
      <c r="O19" t="str">
        <f t="shared" si="51"/>
        <v/>
      </c>
      <c r="U19">
        <v>140</v>
      </c>
      <c r="V19">
        <v>2673</v>
      </c>
    </row>
    <row r="20">
      <c r="A20" s="3" t="s">
        <v>603</v>
      </c>
      <c r="B20">
        <v>19</v>
      </c>
      <c r="D20" s="4"/>
      <c r="E20">
        <v>3</v>
      </c>
      <c r="F20">
        <v>16.306959916157204</v>
      </c>
      <c r="G20">
        <v>0.21855144964919254</v>
      </c>
      <c r="H20">
        <v>1850</v>
      </c>
      <c r="N20" t="str">
        <f t="shared" si="50"/>
        <v/>
      </c>
      <c r="O20" t="str">
        <f t="shared" si="51"/>
        <v/>
      </c>
      <c r="U20">
        <v>140</v>
      </c>
      <c r="V20">
        <v>2673</v>
      </c>
    </row>
    <row r="21">
      <c r="A21" s="3" t="s">
        <v>604</v>
      </c>
      <c r="B21">
        <v>20</v>
      </c>
      <c r="C21" s="4">
        <v>3.5111999999999999e-05</v>
      </c>
      <c r="D21" s="4">
        <f t="shared" ref="D21:D22" si="52">C21/0.000045</f>
        <v>0.78026666666666655</v>
      </c>
      <c r="E21">
        <v>2</v>
      </c>
      <c r="F21">
        <v>19.837187699563319</v>
      </c>
      <c r="G21">
        <v>0.21653148972535508</v>
      </c>
      <c r="H21">
        <v>1850</v>
      </c>
      <c r="N21" t="str">
        <f t="shared" si="50"/>
        <v/>
      </c>
      <c r="O21">
        <f t="shared" si="51"/>
        <v>19.837187699563319</v>
      </c>
      <c r="U21">
        <v>140</v>
      </c>
      <c r="V21">
        <v>2673</v>
      </c>
    </row>
    <row r="22">
      <c r="A22" s="3" t="s">
        <v>605</v>
      </c>
      <c r="B22">
        <v>21</v>
      </c>
      <c r="C22" s="4">
        <v>3.112e-05</v>
      </c>
      <c r="D22" s="4">
        <f t="shared" si="52"/>
        <v>0.69155555555555548</v>
      </c>
      <c r="E22">
        <v>2</v>
      </c>
      <c r="F22">
        <v>18.486070482969431</v>
      </c>
      <c r="G22">
        <v>0.24118764770195084</v>
      </c>
      <c r="H22">
        <v>1850</v>
      </c>
      <c r="N22" t="str">
        <f t="shared" si="50"/>
        <v/>
      </c>
      <c r="O22">
        <f t="shared" si="51"/>
        <v>18.486070482969431</v>
      </c>
      <c r="U22">
        <v>140</v>
      </c>
      <c r="V22">
        <v>2673</v>
      </c>
    </row>
    <row r="23">
      <c r="N23" t="str">
        <f t="shared" si="50"/>
        <v/>
      </c>
      <c r="O23" t="str">
        <f t="shared" si="51"/>
        <v/>
      </c>
    </row>
    <row r="24">
      <c r="N24" t="str">
        <f t="shared" si="50"/>
        <v/>
      </c>
      <c r="O24" t="str">
        <f t="shared" si="51"/>
        <v/>
      </c>
    </row>
    <row r="25">
      <c r="N25" t="str">
        <f t="shared" si="50"/>
        <v/>
      </c>
      <c r="O25" t="str">
        <f t="shared" si="51"/>
        <v/>
      </c>
    </row>
    <row r="26">
      <c r="N26" t="str">
        <f t="shared" si="50"/>
        <v/>
      </c>
      <c r="O26" t="str">
        <f t="shared" si="51"/>
        <v/>
      </c>
    </row>
    <row r="27">
      <c r="N27" t="str">
        <f t="shared" si="50"/>
        <v/>
      </c>
      <c r="O27" t="str">
        <f t="shared" si="51"/>
        <v/>
      </c>
    </row>
    <row r="28">
      <c r="N28" t="str">
        <f t="shared" si="50"/>
        <v/>
      </c>
      <c r="O28" t="str">
        <f t="shared" si="51"/>
        <v/>
      </c>
    </row>
    <row r="29">
      <c r="N29" t="str">
        <f t="shared" si="50"/>
        <v/>
      </c>
      <c r="O29" t="str">
        <f t="shared" si="51"/>
        <v/>
      </c>
    </row>
    <row r="30">
      <c r="N30" t="str">
        <f t="shared" si="50"/>
        <v/>
      </c>
      <c r="O30" t="str">
        <f t="shared" si="51"/>
        <v/>
      </c>
    </row>
    <row r="31">
      <c r="N31" t="str">
        <f t="shared" si="50"/>
        <v/>
      </c>
      <c r="O31" t="str">
        <f t="shared" si="51"/>
        <v/>
      </c>
    </row>
    <row r="32">
      <c r="N32" t="str">
        <f t="shared" si="50"/>
        <v/>
      </c>
      <c r="O32" t="str">
        <f t="shared" si="51"/>
        <v/>
      </c>
    </row>
    <row r="33">
      <c r="N33" t="str">
        <f t="shared" si="50"/>
        <v/>
      </c>
      <c r="O33" t="str">
        <f t="shared" si="51"/>
        <v/>
      </c>
    </row>
    <row r="34">
      <c r="N34" t="str">
        <f t="shared" si="50"/>
        <v/>
      </c>
      <c r="O34" t="str">
        <f t="shared" si="51"/>
        <v/>
      </c>
    </row>
    <row r="35">
      <c r="N35" t="str">
        <f t="shared" si="50"/>
        <v/>
      </c>
      <c r="O35" t="str">
        <f t="shared" si="51"/>
        <v/>
      </c>
    </row>
    <row r="36">
      <c r="N36" t="str">
        <f t="shared" si="50"/>
        <v/>
      </c>
      <c r="O36" t="str">
        <f t="shared" si="51"/>
        <v/>
      </c>
    </row>
    <row r="37">
      <c r="N37" t="str">
        <f t="shared" si="50"/>
        <v/>
      </c>
      <c r="O37" t="str">
        <f t="shared" si="51"/>
        <v/>
      </c>
    </row>
    <row r="38">
      <c r="N38" t="str">
        <f t="shared" si="50"/>
        <v/>
      </c>
      <c r="O38" t="str">
        <f t="shared" si="51"/>
        <v/>
      </c>
    </row>
    <row r="39">
      <c r="N39" t="str">
        <f t="shared" si="50"/>
        <v/>
      </c>
      <c r="O39" t="str">
        <f t="shared" si="51"/>
        <v/>
      </c>
    </row>
    <row r="40">
      <c r="N40" t="str">
        <f t="shared" si="50"/>
        <v/>
      </c>
      <c r="O40" t="str">
        <f t="shared" si="51"/>
        <v/>
      </c>
    </row>
    <row r="41">
      <c r="N41" t="str">
        <f t="shared" si="50"/>
        <v/>
      </c>
      <c r="O41" t="str">
        <f t="shared" si="51"/>
        <v/>
      </c>
    </row>
    <row r="42">
      <c r="N42" t="str">
        <f t="shared" si="50"/>
        <v/>
      </c>
      <c r="O42" t="str">
        <f t="shared" si="51"/>
        <v/>
      </c>
    </row>
    <row r="43">
      <c r="N43" t="str">
        <f t="shared" si="50"/>
        <v/>
      </c>
      <c r="O43" t="str">
        <f t="shared" si="51"/>
        <v/>
      </c>
    </row>
    <row r="44">
      <c r="N44" t="str">
        <f t="shared" si="50"/>
        <v/>
      </c>
      <c r="O44" t="str">
        <f t="shared" si="51"/>
        <v/>
      </c>
    </row>
    <row r="45">
      <c r="N45" t="str">
        <f t="shared" si="50"/>
        <v/>
      </c>
      <c r="O45" t="str">
        <f t="shared" si="51"/>
        <v/>
      </c>
    </row>
    <row r="46">
      <c r="N46" t="str">
        <f t="shared" si="50"/>
        <v/>
      </c>
      <c r="O46" t="str">
        <f t="shared" si="51"/>
        <v/>
      </c>
    </row>
    <row r="47">
      <c r="N47" t="str">
        <f t="shared" si="50"/>
        <v/>
      </c>
      <c r="O47" t="str">
        <f t="shared" si="51"/>
        <v/>
      </c>
    </row>
    <row r="48">
      <c r="N48" t="str">
        <f t="shared" si="50"/>
        <v/>
      </c>
      <c r="O48" t="str">
        <f t="shared" si="51"/>
        <v/>
      </c>
    </row>
    <row r="49">
      <c r="N49" t="str">
        <f t="shared" si="50"/>
        <v/>
      </c>
      <c r="O49" t="str">
        <f t="shared" si="51"/>
        <v/>
      </c>
    </row>
    <row r="50">
      <c r="N50" t="str">
        <f t="shared" si="50"/>
        <v/>
      </c>
      <c r="O50" t="str">
        <f t="shared" si="51"/>
        <v/>
      </c>
    </row>
    <row r="51">
      <c r="N51" t="str">
        <f t="shared" si="50"/>
        <v/>
      </c>
      <c r="O51" t="str">
        <f t="shared" si="51"/>
        <v/>
      </c>
    </row>
    <row r="52">
      <c r="N52" t="str">
        <f t="shared" si="50"/>
        <v/>
      </c>
      <c r="O52" t="str">
        <f t="shared" si="51"/>
        <v/>
      </c>
    </row>
    <row r="53">
      <c r="N53" t="str">
        <f t="shared" si="50"/>
        <v/>
      </c>
      <c r="O53" t="str">
        <f t="shared" si="51"/>
        <v/>
      </c>
    </row>
    <row r="54">
      <c r="N54" t="str">
        <f t="shared" si="50"/>
        <v/>
      </c>
      <c r="O54" t="str">
        <f t="shared" si="51"/>
        <v/>
      </c>
    </row>
    <row r="55">
      <c r="N55" t="str">
        <f t="shared" si="50"/>
        <v/>
      </c>
      <c r="O55" t="str">
        <f t="shared" si="51"/>
        <v/>
      </c>
    </row>
    <row r="56">
      <c r="N56" t="str">
        <f t="shared" si="50"/>
        <v/>
      </c>
      <c r="O56" t="str">
        <f t="shared" si="51"/>
        <v/>
      </c>
    </row>
    <row r="57">
      <c r="N57" t="str">
        <f t="shared" si="50"/>
        <v/>
      </c>
      <c r="O57" t="str">
        <f t="shared" si="51"/>
        <v/>
      </c>
    </row>
    <row r="58">
      <c r="N58" t="str">
        <f t="shared" si="50"/>
        <v/>
      </c>
      <c r="O58" t="str">
        <f t="shared" si="51"/>
        <v/>
      </c>
    </row>
    <row r="59">
      <c r="N59" t="str">
        <f t="shared" si="50"/>
        <v/>
      </c>
      <c r="O59" t="str">
        <f t="shared" si="51"/>
        <v/>
      </c>
    </row>
    <row r="60">
      <c r="N60" t="str">
        <f t="shared" si="50"/>
        <v/>
      </c>
      <c r="O60" t="str">
        <f t="shared" si="51"/>
        <v/>
      </c>
    </row>
    <row r="61">
      <c r="N61" t="str">
        <f t="shared" si="50"/>
        <v/>
      </c>
      <c r="O61" t="str">
        <f t="shared" si="51"/>
        <v/>
      </c>
    </row>
    <row r="62">
      <c r="N62" t="str">
        <f t="shared" si="50"/>
        <v/>
      </c>
      <c r="O62" t="str">
        <f t="shared" si="51"/>
        <v/>
      </c>
    </row>
    <row r="63">
      <c r="N63" t="str">
        <f t="shared" si="50"/>
        <v/>
      </c>
      <c r="O63" t="str">
        <f t="shared" si="51"/>
        <v/>
      </c>
    </row>
    <row r="64">
      <c r="N64" t="str">
        <f t="shared" si="50"/>
        <v/>
      </c>
      <c r="O64" t="str">
        <f t="shared" si="51"/>
        <v/>
      </c>
    </row>
    <row r="65">
      <c r="N65" t="str">
        <f t="shared" si="50"/>
        <v/>
      </c>
      <c r="O65" t="str">
        <f t="shared" si="51"/>
        <v/>
      </c>
    </row>
    <row r="66">
      <c r="N66" t="str">
        <f t="shared" ref="N66:N122" si="53">IF(E66=1,F66,"")</f>
        <v/>
      </c>
      <c r="O66" t="str">
        <f t="shared" ref="O66" si="54">IF(E66=2,F66,"")</f>
        <v/>
      </c>
    </row>
    <row r="67">
      <c r="N67" t="str">
        <f t="shared" si="53"/>
        <v/>
      </c>
      <c r="O67" t="str">
        <f t="shared" ref="O67:O122" si="55">IF(E67=2,F67,"")</f>
        <v/>
      </c>
    </row>
    <row r="68">
      <c r="N68" t="str">
        <f t="shared" si="53"/>
        <v/>
      </c>
      <c r="O68" t="str">
        <f t="shared" si="55"/>
        <v/>
      </c>
    </row>
    <row r="69">
      <c r="N69" t="str">
        <f t="shared" si="53"/>
        <v/>
      </c>
      <c r="O69" t="str">
        <f t="shared" si="55"/>
        <v/>
      </c>
    </row>
    <row r="70">
      <c r="N70" t="str">
        <f t="shared" si="53"/>
        <v/>
      </c>
      <c r="O70" t="str">
        <f t="shared" si="55"/>
        <v/>
      </c>
    </row>
    <row r="71">
      <c r="N71" t="str">
        <f t="shared" si="53"/>
        <v/>
      </c>
      <c r="O71" t="str">
        <f t="shared" si="55"/>
        <v/>
      </c>
    </row>
    <row r="72">
      <c r="N72" t="str">
        <f t="shared" si="53"/>
        <v/>
      </c>
      <c r="O72" t="str">
        <f t="shared" si="55"/>
        <v/>
      </c>
    </row>
    <row r="73">
      <c r="N73" t="str">
        <f t="shared" si="53"/>
        <v/>
      </c>
      <c r="O73" t="str">
        <f t="shared" si="55"/>
        <v/>
      </c>
    </row>
    <row r="74">
      <c r="N74" t="str">
        <f t="shared" si="53"/>
        <v/>
      </c>
      <c r="O74" t="str">
        <f t="shared" si="55"/>
        <v/>
      </c>
    </row>
    <row r="75">
      <c r="N75" t="str">
        <f t="shared" si="53"/>
        <v/>
      </c>
      <c r="O75" t="str">
        <f t="shared" si="55"/>
        <v/>
      </c>
    </row>
    <row r="76">
      <c r="N76" t="str">
        <f t="shared" si="53"/>
        <v/>
      </c>
      <c r="O76" t="str">
        <f t="shared" si="55"/>
        <v/>
      </c>
    </row>
    <row r="77">
      <c r="N77" t="str">
        <f t="shared" si="53"/>
        <v/>
      </c>
      <c r="O77" t="str">
        <f t="shared" si="55"/>
        <v/>
      </c>
    </row>
    <row r="78">
      <c r="N78" t="str">
        <f t="shared" si="53"/>
        <v/>
      </c>
      <c r="O78" t="str">
        <f t="shared" si="55"/>
        <v/>
      </c>
    </row>
    <row r="79">
      <c r="N79" t="str">
        <f t="shared" si="53"/>
        <v/>
      </c>
      <c r="O79" t="str">
        <f t="shared" si="55"/>
        <v/>
      </c>
    </row>
    <row r="80">
      <c r="N80" t="str">
        <f t="shared" si="53"/>
        <v/>
      </c>
      <c r="O80" t="str">
        <f t="shared" si="55"/>
        <v/>
      </c>
    </row>
    <row r="81">
      <c r="N81" t="str">
        <f t="shared" si="53"/>
        <v/>
      </c>
      <c r="O81" t="str">
        <f t="shared" si="55"/>
        <v/>
      </c>
    </row>
    <row r="82">
      <c r="N82" t="str">
        <f t="shared" si="53"/>
        <v/>
      </c>
      <c r="O82" t="str">
        <f t="shared" si="55"/>
        <v/>
      </c>
    </row>
    <row r="83">
      <c r="N83" t="str">
        <f t="shared" si="53"/>
        <v/>
      </c>
      <c r="O83" t="str">
        <f t="shared" si="55"/>
        <v/>
      </c>
    </row>
    <row r="84">
      <c r="N84" t="str">
        <f t="shared" si="53"/>
        <v/>
      </c>
      <c r="O84" t="str">
        <f t="shared" si="55"/>
        <v/>
      </c>
    </row>
    <row r="85">
      <c r="N85" t="str">
        <f t="shared" si="53"/>
        <v/>
      </c>
      <c r="O85" t="str">
        <f t="shared" si="55"/>
        <v/>
      </c>
    </row>
    <row r="86">
      <c r="N86" t="str">
        <f t="shared" si="53"/>
        <v/>
      </c>
      <c r="O86" t="str">
        <f t="shared" si="55"/>
        <v/>
      </c>
    </row>
    <row r="87">
      <c r="N87" t="str">
        <f t="shared" si="53"/>
        <v/>
      </c>
      <c r="O87" t="str">
        <f t="shared" si="55"/>
        <v/>
      </c>
    </row>
    <row r="88">
      <c r="N88" t="str">
        <f t="shared" si="53"/>
        <v/>
      </c>
      <c r="O88" t="str">
        <f t="shared" si="55"/>
        <v/>
      </c>
    </row>
    <row r="89">
      <c r="N89" t="str">
        <f t="shared" si="53"/>
        <v/>
      </c>
      <c r="O89" t="str">
        <f t="shared" si="55"/>
        <v/>
      </c>
    </row>
    <row r="90">
      <c r="N90" t="str">
        <f t="shared" si="53"/>
        <v/>
      </c>
      <c r="O90" t="str">
        <f t="shared" si="55"/>
        <v/>
      </c>
    </row>
    <row r="91">
      <c r="N91" t="str">
        <f t="shared" si="53"/>
        <v/>
      </c>
      <c r="O91" t="str">
        <f t="shared" si="55"/>
        <v/>
      </c>
    </row>
    <row r="92">
      <c r="N92" t="str">
        <f t="shared" si="53"/>
        <v/>
      </c>
      <c r="O92" t="str">
        <f t="shared" si="55"/>
        <v/>
      </c>
    </row>
    <row r="93">
      <c r="N93" t="str">
        <f t="shared" si="53"/>
        <v/>
      </c>
      <c r="O93" t="str">
        <f t="shared" si="55"/>
        <v/>
      </c>
    </row>
    <row r="94">
      <c r="N94" t="str">
        <f t="shared" si="53"/>
        <v/>
      </c>
      <c r="O94" t="str">
        <f t="shared" si="55"/>
        <v/>
      </c>
    </row>
    <row r="95">
      <c r="N95" t="str">
        <f t="shared" si="53"/>
        <v/>
      </c>
      <c r="O95" t="str">
        <f t="shared" si="55"/>
        <v/>
      </c>
    </row>
    <row r="96">
      <c r="N96" t="str">
        <f t="shared" si="53"/>
        <v/>
      </c>
      <c r="O96" t="str">
        <f t="shared" si="55"/>
        <v/>
      </c>
    </row>
    <row r="97">
      <c r="N97" t="str">
        <f t="shared" si="53"/>
        <v/>
      </c>
      <c r="O97" t="str">
        <f t="shared" si="55"/>
        <v/>
      </c>
    </row>
    <row r="98">
      <c r="N98" t="str">
        <f t="shared" si="53"/>
        <v/>
      </c>
      <c r="O98" t="str">
        <f t="shared" si="55"/>
        <v/>
      </c>
    </row>
    <row r="99">
      <c r="N99" t="str">
        <f t="shared" si="53"/>
        <v/>
      </c>
      <c r="O99" t="str">
        <f t="shared" si="55"/>
        <v/>
      </c>
    </row>
    <row r="100">
      <c r="N100" t="str">
        <f t="shared" si="53"/>
        <v/>
      </c>
      <c r="O100" t="str">
        <f t="shared" si="55"/>
        <v/>
      </c>
    </row>
    <row r="101">
      <c r="N101" t="str">
        <f t="shared" si="53"/>
        <v/>
      </c>
      <c r="O101" t="str">
        <f t="shared" si="55"/>
        <v/>
      </c>
    </row>
    <row r="102">
      <c r="N102" t="str">
        <f t="shared" si="53"/>
        <v/>
      </c>
      <c r="O102" t="str">
        <f t="shared" si="55"/>
        <v/>
      </c>
    </row>
    <row r="103">
      <c r="N103" t="str">
        <f t="shared" si="53"/>
        <v/>
      </c>
      <c r="O103" t="str">
        <f t="shared" si="55"/>
        <v/>
      </c>
    </row>
    <row r="104">
      <c r="N104" t="str">
        <f t="shared" si="53"/>
        <v/>
      </c>
      <c r="O104" t="str">
        <f t="shared" si="55"/>
        <v/>
      </c>
    </row>
    <row r="105">
      <c r="N105" t="str">
        <f t="shared" si="53"/>
        <v/>
      </c>
      <c r="O105" t="str">
        <f t="shared" si="55"/>
        <v/>
      </c>
    </row>
    <row r="106">
      <c r="N106" t="str">
        <f t="shared" si="53"/>
        <v/>
      </c>
      <c r="O106" t="str">
        <f t="shared" si="55"/>
        <v/>
      </c>
    </row>
    <row r="107">
      <c r="N107" t="str">
        <f t="shared" si="53"/>
        <v/>
      </c>
      <c r="O107" t="str">
        <f t="shared" si="55"/>
        <v/>
      </c>
    </row>
    <row r="108">
      <c r="N108" t="str">
        <f t="shared" si="53"/>
        <v/>
      </c>
      <c r="O108" t="str">
        <f t="shared" si="55"/>
        <v/>
      </c>
    </row>
    <row r="109">
      <c r="N109" t="str">
        <f t="shared" si="53"/>
        <v/>
      </c>
      <c r="O109" t="str">
        <f t="shared" si="55"/>
        <v/>
      </c>
    </row>
    <row r="110">
      <c r="N110" t="str">
        <f t="shared" si="53"/>
        <v/>
      </c>
      <c r="O110" t="str">
        <f t="shared" si="55"/>
        <v/>
      </c>
    </row>
    <row r="111">
      <c r="N111" t="str">
        <f t="shared" si="53"/>
        <v/>
      </c>
      <c r="O111" t="str">
        <f t="shared" si="55"/>
        <v/>
      </c>
    </row>
    <row r="112">
      <c r="N112" t="str">
        <f t="shared" si="53"/>
        <v/>
      </c>
      <c r="O112" t="str">
        <f t="shared" si="55"/>
        <v/>
      </c>
    </row>
    <row r="113">
      <c r="N113" t="str">
        <f t="shared" si="53"/>
        <v/>
      </c>
      <c r="O113" t="str">
        <f t="shared" si="55"/>
        <v/>
      </c>
    </row>
    <row r="114">
      <c r="N114" t="str">
        <f t="shared" si="53"/>
        <v/>
      </c>
      <c r="O114" t="str">
        <f t="shared" si="55"/>
        <v/>
      </c>
    </row>
    <row r="115">
      <c r="N115" t="str">
        <f t="shared" si="53"/>
        <v/>
      </c>
      <c r="O115" t="str">
        <f t="shared" si="55"/>
        <v/>
      </c>
    </row>
    <row r="116">
      <c r="N116" t="str">
        <f t="shared" si="53"/>
        <v/>
      </c>
      <c r="O116" t="str">
        <f t="shared" si="55"/>
        <v/>
      </c>
    </row>
    <row r="117">
      <c r="N117" t="str">
        <f t="shared" si="53"/>
        <v/>
      </c>
      <c r="O117" t="str">
        <f t="shared" si="55"/>
        <v/>
      </c>
    </row>
    <row r="118">
      <c r="N118" t="str">
        <f t="shared" si="53"/>
        <v/>
      </c>
      <c r="O118" t="str">
        <f t="shared" si="55"/>
        <v/>
      </c>
    </row>
    <row r="119">
      <c r="N119" t="str">
        <f t="shared" si="53"/>
        <v/>
      </c>
      <c r="O119" t="str">
        <f t="shared" si="55"/>
        <v/>
      </c>
    </row>
    <row r="120">
      <c r="N120" t="str">
        <f t="shared" si="53"/>
        <v/>
      </c>
      <c r="O120" t="str">
        <f t="shared" si="55"/>
        <v/>
      </c>
    </row>
    <row r="121">
      <c r="N121" t="str">
        <f t="shared" si="53"/>
        <v/>
      </c>
      <c r="O121" t="str">
        <f t="shared" si="55"/>
        <v/>
      </c>
    </row>
    <row r="122">
      <c r="N122" t="str">
        <f t="shared" si="53"/>
        <v/>
      </c>
      <c r="O122" t="str">
        <f t="shared" si="55"/>
        <v/>
      </c>
    </row>
  </sheetData>
  <hyperlinks>
    <hyperlink r:id="rId1" ref="A2"/>
    <hyperlink r:id="rId1" ref="A3:A22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3" activeCellId="0" sqref="A3:A144"/>
    </sheetView>
  </sheetViews>
  <sheetFormatPr baseColWidth="10" defaultRowHeight="15"/>
  <sheetData>
    <row r="1">
      <c r="A1" t="s">
        <v>293</v>
      </c>
      <c r="B1" t="s">
        <v>606</v>
      </c>
      <c r="C1" s="5" t="s">
        <v>607</v>
      </c>
      <c r="D1" s="5" t="s">
        <v>296</v>
      </c>
      <c r="E1" t="s">
        <v>297</v>
      </c>
      <c r="F1" t="s">
        <v>298</v>
      </c>
      <c r="G1" t="s">
        <v>306</v>
      </c>
      <c r="H1" t="s">
        <v>608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463</v>
      </c>
      <c r="V1" t="s">
        <v>300</v>
      </c>
    </row>
    <row r="2">
      <c r="A2" s="3" t="s">
        <v>609</v>
      </c>
      <c r="B2">
        <v>1</v>
      </c>
      <c r="C2">
        <v>0</v>
      </c>
      <c r="E2">
        <v>1</v>
      </c>
      <c r="F2">
        <v>9.6965977758800523</v>
      </c>
      <c r="G2">
        <v>0.19661412119831467</v>
      </c>
      <c r="H2">
        <v>1800</v>
      </c>
      <c r="I2">
        <v>12</v>
      </c>
      <c r="J2">
        <v>15</v>
      </c>
      <c r="L2">
        <f>F16-F13</f>
        <v>-0.86793358787483754</v>
      </c>
      <c r="N2">
        <f t="shared" ref="N2:N65" si="56">IF(E2=1,F2,"")</f>
        <v>9.6965977758800523</v>
      </c>
      <c r="O2" t="str">
        <f t="shared" ref="O2:O65" si="57">IF(E2=2,F2,"")</f>
        <v/>
      </c>
      <c r="P2">
        <f>AVERAGE(G11,G13,G17)</f>
        <v>0.2061485390528702</v>
      </c>
      <c r="Q2">
        <f>MIN(N2:N200)</f>
        <v>1.5932641707450448</v>
      </c>
      <c r="R2">
        <f>AVERAGE(N2:N200)</f>
        <v>8.1247192222185163</v>
      </c>
      <c r="S2">
        <f>MAX(N2:N200)</f>
        <v>13.462035821326044</v>
      </c>
      <c r="T2">
        <f>COUNT(N2:N124)</f>
        <v>66</v>
      </c>
      <c r="U2">
        <v>150</v>
      </c>
      <c r="V2">
        <v>3225</v>
      </c>
    </row>
    <row r="3">
      <c r="A3" s="3" t="s">
        <v>610</v>
      </c>
      <c r="B3">
        <v>3</v>
      </c>
      <c r="C3">
        <v>0</v>
      </c>
      <c r="E3">
        <v>1</v>
      </c>
      <c r="F3">
        <v>7.1128867730117333</v>
      </c>
      <c r="G3">
        <v>0.17011795416948197</v>
      </c>
      <c r="H3">
        <v>1800</v>
      </c>
      <c r="I3">
        <v>16</v>
      </c>
      <c r="J3">
        <v>19</v>
      </c>
      <c r="L3">
        <f>F20-F17</f>
        <v>-1.2077110864406784</v>
      </c>
      <c r="N3">
        <f t="shared" si="56"/>
        <v>7.1128867730117333</v>
      </c>
      <c r="O3" t="str">
        <f t="shared" si="57"/>
        <v/>
      </c>
      <c r="U3">
        <v>150</v>
      </c>
      <c r="V3">
        <v>3225</v>
      </c>
    </row>
    <row r="4">
      <c r="A4" s="3" t="s">
        <v>611</v>
      </c>
      <c r="B4">
        <v>4</v>
      </c>
      <c r="C4">
        <v>0</v>
      </c>
      <c r="E4">
        <v>1</v>
      </c>
      <c r="F4">
        <v>7.0669761880052144</v>
      </c>
      <c r="G4">
        <v>0.17821995271966595</v>
      </c>
      <c r="H4">
        <v>1800</v>
      </c>
      <c r="I4">
        <v>51</v>
      </c>
      <c r="J4">
        <v>53</v>
      </c>
      <c r="L4">
        <f>F52-F54</f>
        <v>-6.6572659135593213</v>
      </c>
      <c r="N4">
        <f t="shared" si="56"/>
        <v>7.0669761880052144</v>
      </c>
      <c r="O4" t="str">
        <f t="shared" si="57"/>
        <v/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150</v>
      </c>
      <c r="V4">
        <v>3225</v>
      </c>
    </row>
    <row r="5">
      <c r="A5" s="3" t="s">
        <v>612</v>
      </c>
      <c r="B5">
        <v>5</v>
      </c>
      <c r="C5">
        <v>0</v>
      </c>
      <c r="E5">
        <v>1</v>
      </c>
      <c r="F5">
        <v>8.1959266865710561</v>
      </c>
      <c r="G5">
        <v>0.20004361017410272</v>
      </c>
      <c r="H5">
        <v>1800</v>
      </c>
      <c r="I5">
        <v>63</v>
      </c>
      <c r="J5">
        <v>67</v>
      </c>
      <c r="L5">
        <f>F68-F64</f>
        <v>-4.137102172881356</v>
      </c>
      <c r="N5">
        <f t="shared" si="56"/>
        <v>8.1959266865710561</v>
      </c>
      <c r="O5" t="str">
        <f t="shared" si="57"/>
        <v/>
      </c>
      <c r="P5">
        <f>AVERAGE(G2:G10,G12,G14:G16,G18:G22)</f>
        <v>0.19176330515477846</v>
      </c>
      <c r="Q5">
        <f>MIN(O2:O200)</f>
        <v>10.757288364146024</v>
      </c>
      <c r="R5">
        <f>AVERAGE(O2:O200)</f>
        <v>15.786195337361622</v>
      </c>
      <c r="S5">
        <f>MAX(O2:O200)</f>
        <v>19.711779735885166</v>
      </c>
      <c r="T5">
        <f>COUNT(O2:O124)</f>
        <v>45</v>
      </c>
      <c r="U5">
        <v>150</v>
      </c>
      <c r="V5">
        <v>3225</v>
      </c>
    </row>
    <row r="6">
      <c r="A6" s="3" t="s">
        <v>613</v>
      </c>
      <c r="B6">
        <v>6</v>
      </c>
      <c r="C6">
        <v>0</v>
      </c>
      <c r="E6">
        <v>1</v>
      </c>
      <c r="F6">
        <v>7.8522221851368963</v>
      </c>
      <c r="G6">
        <v>0.18004395629166109</v>
      </c>
      <c r="H6">
        <v>1800</v>
      </c>
      <c r="I6">
        <v>72</v>
      </c>
      <c r="J6">
        <v>76</v>
      </c>
      <c r="L6">
        <f>F73-F77</f>
        <v>-0.80763191069100415</v>
      </c>
      <c r="N6">
        <f t="shared" si="56"/>
        <v>7.8522221851368963</v>
      </c>
      <c r="O6" t="str">
        <f t="shared" si="57"/>
        <v/>
      </c>
      <c r="U6">
        <v>150</v>
      </c>
      <c r="V6">
        <v>3225</v>
      </c>
    </row>
    <row r="7">
      <c r="A7" s="3" t="s">
        <v>614</v>
      </c>
      <c r="B7">
        <v>7</v>
      </c>
      <c r="C7">
        <v>0</v>
      </c>
      <c r="E7">
        <v>1</v>
      </c>
      <c r="F7">
        <v>9.3588196001303778</v>
      </c>
      <c r="G7">
        <v>0.19042994639049388</v>
      </c>
      <c r="H7">
        <v>1800</v>
      </c>
      <c r="I7">
        <v>85</v>
      </c>
      <c r="J7">
        <v>90</v>
      </c>
      <c r="L7">
        <f>F92-F86</f>
        <v>2.380103242112126</v>
      </c>
      <c r="N7">
        <f t="shared" si="56"/>
        <v>9.3588196001303778</v>
      </c>
      <c r="O7" t="str">
        <f t="shared" si="57"/>
        <v/>
      </c>
      <c r="U7">
        <v>150</v>
      </c>
      <c r="V7">
        <v>3225</v>
      </c>
    </row>
    <row r="8">
      <c r="A8" s="3" t="s">
        <v>615</v>
      </c>
      <c r="B8">
        <v>8</v>
      </c>
      <c r="C8">
        <v>0</v>
      </c>
      <c r="E8">
        <v>1</v>
      </c>
      <c r="F8">
        <v>8.7130740986962181</v>
      </c>
      <c r="G8">
        <v>0.18615301154802832</v>
      </c>
      <c r="H8">
        <v>1800</v>
      </c>
      <c r="I8">
        <v>105</v>
      </c>
      <c r="J8">
        <v>107</v>
      </c>
      <c r="L8">
        <f>F106-F108</f>
        <v>2.4392794149934804</v>
      </c>
      <c r="N8">
        <f t="shared" si="56"/>
        <v>8.7130740986962181</v>
      </c>
      <c r="O8" t="str">
        <f t="shared" si="57"/>
        <v/>
      </c>
      <c r="U8">
        <v>150</v>
      </c>
      <c r="V8">
        <v>3225</v>
      </c>
    </row>
    <row r="9">
      <c r="A9" s="3" t="s">
        <v>616</v>
      </c>
      <c r="B9">
        <v>9</v>
      </c>
      <c r="C9">
        <v>0</v>
      </c>
      <c r="E9">
        <v>1</v>
      </c>
      <c r="F9">
        <v>9.3133105136897001</v>
      </c>
      <c r="G9">
        <v>0.18450124906852627</v>
      </c>
      <c r="H9">
        <v>1800</v>
      </c>
      <c r="I9">
        <v>115</v>
      </c>
      <c r="J9">
        <v>118</v>
      </c>
      <c r="L9">
        <f>F116-F123</f>
        <v>2.6914255878748357</v>
      </c>
      <c r="N9">
        <f t="shared" si="56"/>
        <v>9.3133105136897001</v>
      </c>
      <c r="O9" t="str">
        <f t="shared" si="57"/>
        <v/>
      </c>
      <c r="U9">
        <v>150</v>
      </c>
      <c r="V9">
        <v>3225</v>
      </c>
    </row>
    <row r="10">
      <c r="A10" s="3" t="s">
        <v>617</v>
      </c>
      <c r="B10">
        <v>10</v>
      </c>
      <c r="C10">
        <v>0</v>
      </c>
      <c r="E10">
        <v>1</v>
      </c>
      <c r="F10">
        <v>7.7119020122555408</v>
      </c>
      <c r="G10">
        <v>0.17788791469370135</v>
      </c>
      <c r="H10">
        <v>1800</v>
      </c>
      <c r="I10">
        <v>133</v>
      </c>
      <c r="J10">
        <v>135</v>
      </c>
      <c r="L10">
        <f>F133-F135</f>
        <v>0.25227610321257643</v>
      </c>
      <c r="N10">
        <f t="shared" si="56"/>
        <v>7.7119020122555408</v>
      </c>
      <c r="O10" t="str">
        <f t="shared" si="57"/>
        <v/>
      </c>
      <c r="U10">
        <v>150</v>
      </c>
      <c r="V10">
        <v>3225</v>
      </c>
    </row>
    <row r="11">
      <c r="A11" s="3" t="s">
        <v>618</v>
      </c>
      <c r="B11">
        <v>11</v>
      </c>
      <c r="C11">
        <v>0</v>
      </c>
      <c r="E11">
        <v>1</v>
      </c>
      <c r="F11">
        <v>9.2260145108213827</v>
      </c>
      <c r="G11">
        <v>0.20255989591467402</v>
      </c>
      <c r="H11">
        <v>1800</v>
      </c>
      <c r="I11">
        <v>140</v>
      </c>
      <c r="J11">
        <v>144</v>
      </c>
      <c r="L11">
        <f>F142-F138</f>
        <v>-2.3194288341763496</v>
      </c>
      <c r="N11">
        <f t="shared" si="56"/>
        <v>9.2260145108213827</v>
      </c>
      <c r="O11" t="str">
        <f t="shared" si="57"/>
        <v/>
      </c>
      <c r="U11">
        <v>150</v>
      </c>
      <c r="V11">
        <v>3225</v>
      </c>
    </row>
    <row r="12">
      <c r="A12" s="3" t="s">
        <v>619</v>
      </c>
      <c r="B12">
        <v>12</v>
      </c>
      <c r="C12">
        <v>0</v>
      </c>
      <c r="E12">
        <v>1</v>
      </c>
      <c r="F12">
        <v>8.2478409258148631</v>
      </c>
      <c r="G12">
        <v>0.21270232375005302</v>
      </c>
      <c r="H12">
        <v>1800</v>
      </c>
      <c r="I12">
        <v>136</v>
      </c>
      <c r="J12">
        <v>138</v>
      </c>
      <c r="L12">
        <f>F133-F134</f>
        <v>-2.204093582911824</v>
      </c>
      <c r="N12">
        <f t="shared" si="56"/>
        <v>8.2478409258148631</v>
      </c>
      <c r="O12" t="str">
        <f t="shared" si="57"/>
        <v/>
      </c>
      <c r="U12">
        <v>150</v>
      </c>
      <c r="V12">
        <v>3225</v>
      </c>
    </row>
    <row r="13">
      <c r="A13" s="3" t="s">
        <v>620</v>
      </c>
      <c r="B13">
        <v>13</v>
      </c>
      <c r="C13" s="4">
        <v>1.9682080655694501e-05</v>
      </c>
      <c r="D13" s="4">
        <f t="shared" ref="D13:D16" si="58">C13/0.00003</f>
        <v>0.65606935518981668</v>
      </c>
      <c r="E13">
        <v>2</v>
      </c>
      <c r="F13">
        <v>13.664229424380704</v>
      </c>
      <c r="G13">
        <v>0.19739789176613706</v>
      </c>
      <c r="H13">
        <v>1800</v>
      </c>
      <c r="N13" t="str">
        <f t="shared" si="56"/>
        <v/>
      </c>
      <c r="O13">
        <f t="shared" si="57"/>
        <v>13.664229424380704</v>
      </c>
      <c r="U13">
        <v>150</v>
      </c>
      <c r="V13">
        <v>3225</v>
      </c>
    </row>
    <row r="14">
      <c r="A14" s="3" t="s">
        <v>621</v>
      </c>
      <c r="B14">
        <v>15</v>
      </c>
      <c r="C14" s="4">
        <v>1.84507030372055e-05</v>
      </c>
      <c r="D14" s="4">
        <f t="shared" si="58"/>
        <v>0.6150234345735166</v>
      </c>
      <c r="E14">
        <v>2</v>
      </c>
      <c r="F14">
        <v>14.841705337940025</v>
      </c>
      <c r="G14">
        <v>0.18887446689900245</v>
      </c>
      <c r="H14">
        <v>1800</v>
      </c>
      <c r="N14" t="str">
        <f t="shared" si="56"/>
        <v/>
      </c>
      <c r="O14">
        <f t="shared" si="57"/>
        <v>14.841705337940025</v>
      </c>
      <c r="U14">
        <v>150</v>
      </c>
      <c r="V14">
        <v>3225</v>
      </c>
    </row>
    <row r="15">
      <c r="A15" s="3" t="s">
        <v>622</v>
      </c>
      <c r="B15">
        <v>14</v>
      </c>
      <c r="C15" s="4">
        <v>1.65606271297024e-05</v>
      </c>
      <c r="D15" s="4">
        <f t="shared" si="58"/>
        <v>0.55202090432341333</v>
      </c>
      <c r="E15">
        <v>2</v>
      </c>
      <c r="F15">
        <v>13.351644839374185</v>
      </c>
      <c r="G15">
        <v>0.17846149289390126</v>
      </c>
      <c r="H15">
        <v>1800</v>
      </c>
      <c r="N15" t="str">
        <f t="shared" si="56"/>
        <v/>
      </c>
      <c r="O15">
        <f t="shared" si="57"/>
        <v>13.351644839374185</v>
      </c>
      <c r="U15">
        <v>150</v>
      </c>
      <c r="V15">
        <v>3225</v>
      </c>
    </row>
    <row r="16">
      <c r="A16" s="3" t="s">
        <v>623</v>
      </c>
      <c r="B16">
        <v>16</v>
      </c>
      <c r="C16" s="4">
        <v>1.0700783912128e-05</v>
      </c>
      <c r="D16" s="4">
        <f t="shared" si="58"/>
        <v>0.35669279707093332</v>
      </c>
      <c r="E16">
        <v>2</v>
      </c>
      <c r="F16">
        <v>12.796295836505866</v>
      </c>
      <c r="G16">
        <v>0.24887198617473996</v>
      </c>
      <c r="H16">
        <v>1800</v>
      </c>
      <c r="N16" t="str">
        <f t="shared" si="56"/>
        <v/>
      </c>
      <c r="O16">
        <f t="shared" si="57"/>
        <v>12.796295836505866</v>
      </c>
      <c r="U16">
        <v>150</v>
      </c>
      <c r="V16">
        <v>3225</v>
      </c>
    </row>
    <row r="17">
      <c r="A17" s="3" t="s">
        <v>624</v>
      </c>
      <c r="B17">
        <v>18</v>
      </c>
      <c r="C17" s="4">
        <v>9.5390923780028797e-05</v>
      </c>
      <c r="D17" s="4">
        <f t="shared" ref="D17:D20" si="59">C17/0.0001</f>
        <v>0.95390923780028791</v>
      </c>
      <c r="E17">
        <v>2</v>
      </c>
      <c r="F17">
        <v>16.863231750065189</v>
      </c>
      <c r="G17">
        <v>0.21848782947779943</v>
      </c>
      <c r="H17">
        <v>1800</v>
      </c>
      <c r="N17" t="str">
        <f t="shared" si="56"/>
        <v/>
      </c>
      <c r="O17">
        <f t="shared" si="57"/>
        <v>16.863231750065189</v>
      </c>
      <c r="U17">
        <v>150</v>
      </c>
      <c r="V17">
        <v>3225</v>
      </c>
    </row>
    <row r="18">
      <c r="A18" s="3" t="s">
        <v>625</v>
      </c>
      <c r="B18">
        <v>17</v>
      </c>
      <c r="C18" s="4">
        <v>6.6325375902627099e-05</v>
      </c>
      <c r="D18" s="4">
        <f t="shared" si="59"/>
        <v>0.66325375902627093</v>
      </c>
      <c r="E18">
        <v>2</v>
      </c>
      <c r="F18">
        <v>16.358421251499347</v>
      </c>
      <c r="G18">
        <v>0.18287664508726742</v>
      </c>
      <c r="H18">
        <v>1800</v>
      </c>
      <c r="N18" t="str">
        <f t="shared" si="56"/>
        <v/>
      </c>
      <c r="O18">
        <f t="shared" si="57"/>
        <v>16.358421251499347</v>
      </c>
      <c r="U18">
        <v>150</v>
      </c>
      <c r="V18">
        <v>3225</v>
      </c>
    </row>
    <row r="19">
      <c r="A19" s="3" t="s">
        <v>626</v>
      </c>
      <c r="B19">
        <v>19</v>
      </c>
      <c r="C19" s="4">
        <v>5.8420263488228997e-05</v>
      </c>
      <c r="D19" s="4">
        <f t="shared" si="59"/>
        <v>0.58420263488228996</v>
      </c>
      <c r="E19">
        <v>2</v>
      </c>
      <c r="F19">
        <v>16.113398165058669</v>
      </c>
      <c r="G19">
        <v>0.20154327542373215</v>
      </c>
      <c r="H19">
        <v>1800</v>
      </c>
      <c r="N19" t="str">
        <f t="shared" si="56"/>
        <v/>
      </c>
      <c r="O19">
        <f t="shared" si="57"/>
        <v>16.113398165058669</v>
      </c>
      <c r="U19">
        <v>150</v>
      </c>
      <c r="V19">
        <v>3225</v>
      </c>
    </row>
    <row r="20">
      <c r="A20" s="3" t="s">
        <v>627</v>
      </c>
      <c r="B20">
        <v>20</v>
      </c>
      <c r="C20" s="4">
        <v>2.30655916412117e-05</v>
      </c>
      <c r="D20" s="4">
        <f t="shared" si="59"/>
        <v>0.230655916412117</v>
      </c>
      <c r="E20">
        <v>2</v>
      </c>
      <c r="F20">
        <v>15.655520663624511</v>
      </c>
      <c r="G20">
        <v>0.19409853050382522</v>
      </c>
      <c r="H20">
        <v>1800</v>
      </c>
      <c r="N20" t="str">
        <f t="shared" si="56"/>
        <v/>
      </c>
      <c r="O20">
        <f t="shared" si="57"/>
        <v>15.655520663624511</v>
      </c>
      <c r="U20">
        <v>150</v>
      </c>
      <c r="V20">
        <v>3225</v>
      </c>
    </row>
    <row r="21">
      <c r="A21" s="3" t="s">
        <v>628</v>
      </c>
      <c r="B21">
        <v>21</v>
      </c>
      <c r="C21" s="4">
        <v>0</v>
      </c>
      <c r="D21" s="4"/>
      <c r="E21">
        <v>1</v>
      </c>
      <c r="F21">
        <v>11.112672162190353</v>
      </c>
      <c r="G21">
        <v>0.17908095432303672</v>
      </c>
      <c r="H21">
        <v>1800</v>
      </c>
      <c r="N21">
        <f t="shared" si="56"/>
        <v>11.112672162190353</v>
      </c>
      <c r="O21" t="str">
        <f t="shared" si="57"/>
        <v/>
      </c>
      <c r="U21">
        <v>150</v>
      </c>
      <c r="V21">
        <v>3225</v>
      </c>
    </row>
    <row r="22">
      <c r="A22" s="3" t="s">
        <v>629</v>
      </c>
      <c r="B22">
        <v>22</v>
      </c>
      <c r="C22" s="4">
        <v>0</v>
      </c>
      <c r="D22" s="4"/>
      <c r="E22">
        <v>1</v>
      </c>
      <c r="F22">
        <v>8.393718577183833</v>
      </c>
      <c r="G22">
        <v>0.20121810147647842</v>
      </c>
      <c r="H22">
        <v>1800</v>
      </c>
      <c r="N22">
        <f t="shared" si="56"/>
        <v>8.393718577183833</v>
      </c>
      <c r="O22" t="str">
        <f t="shared" si="57"/>
        <v/>
      </c>
      <c r="U22">
        <v>150</v>
      </c>
      <c r="V22">
        <v>3225</v>
      </c>
    </row>
    <row r="23">
      <c r="A23" s="3" t="s">
        <v>630</v>
      </c>
      <c r="B23">
        <v>23</v>
      </c>
      <c r="C23" s="4">
        <v>0</v>
      </c>
      <c r="D23" s="4"/>
      <c r="E23">
        <v>1</v>
      </c>
      <c r="F23">
        <v>8.7986570757496736</v>
      </c>
      <c r="G23">
        <v>0.1905797832639852</v>
      </c>
      <c r="H23">
        <v>1800</v>
      </c>
      <c r="N23">
        <f t="shared" si="56"/>
        <v>8.7986570757496736</v>
      </c>
      <c r="O23" t="str">
        <f t="shared" si="57"/>
        <v/>
      </c>
      <c r="U23">
        <v>150</v>
      </c>
      <c r="V23">
        <v>3225</v>
      </c>
    </row>
    <row r="24">
      <c r="A24" s="3" t="s">
        <v>631</v>
      </c>
      <c r="B24">
        <v>24</v>
      </c>
      <c r="C24" s="4">
        <v>0</v>
      </c>
      <c r="D24" s="4"/>
      <c r="E24">
        <v>1</v>
      </c>
      <c r="F24">
        <v>8.054567490743155</v>
      </c>
      <c r="G24">
        <v>0.21204948526586517</v>
      </c>
      <c r="H24">
        <v>1800</v>
      </c>
      <c r="N24">
        <f t="shared" si="56"/>
        <v>8.054567490743155</v>
      </c>
      <c r="O24" t="str">
        <f t="shared" si="57"/>
        <v/>
      </c>
      <c r="U24">
        <v>150</v>
      </c>
      <c r="V24">
        <v>3225</v>
      </c>
    </row>
    <row r="25">
      <c r="A25" s="3" t="s">
        <v>632</v>
      </c>
      <c r="B25">
        <v>25</v>
      </c>
      <c r="C25" s="4">
        <v>4.8175487688107202e-05</v>
      </c>
      <c r="D25" s="4">
        <f>C25/0.00005</f>
        <v>0.96350975376214398</v>
      </c>
      <c r="E25">
        <v>2</v>
      </c>
      <c r="F25">
        <v>15.290322989308997</v>
      </c>
      <c r="G25">
        <v>0.21118051002270538</v>
      </c>
      <c r="H25">
        <v>1800</v>
      </c>
      <c r="N25" t="str">
        <f t="shared" si="56"/>
        <v/>
      </c>
      <c r="O25">
        <f t="shared" si="57"/>
        <v>15.290322989308997</v>
      </c>
      <c r="U25">
        <v>150</v>
      </c>
      <c r="V25">
        <v>3225</v>
      </c>
    </row>
    <row r="26">
      <c r="A26" s="3" t="s">
        <v>633</v>
      </c>
      <c r="B26">
        <v>26</v>
      </c>
      <c r="C26" s="4">
        <v>0</v>
      </c>
      <c r="D26" s="4"/>
      <c r="E26">
        <v>1</v>
      </c>
      <c r="F26">
        <v>12.176276404302477</v>
      </c>
      <c r="G26">
        <v>0.20060704354289849</v>
      </c>
      <c r="H26">
        <v>1800</v>
      </c>
      <c r="N26">
        <f t="shared" si="56"/>
        <v>12.176276404302477</v>
      </c>
      <c r="O26" t="str">
        <f t="shared" si="57"/>
        <v/>
      </c>
      <c r="U26">
        <v>150</v>
      </c>
      <c r="V26">
        <v>3225</v>
      </c>
    </row>
    <row r="27">
      <c r="A27" s="3" t="s">
        <v>634</v>
      </c>
      <c r="B27">
        <v>27</v>
      </c>
      <c r="C27" s="4">
        <v>0</v>
      </c>
      <c r="E27">
        <v>1</v>
      </c>
      <c r="F27">
        <v>8.9282279028683185</v>
      </c>
      <c r="G27">
        <v>0.19968654264964872</v>
      </c>
      <c r="H27">
        <v>1800</v>
      </c>
      <c r="N27">
        <f t="shared" si="56"/>
        <v>8.9282279028683185</v>
      </c>
      <c r="O27" t="str">
        <f t="shared" si="57"/>
        <v/>
      </c>
      <c r="U27">
        <v>150</v>
      </c>
      <c r="V27">
        <v>3225</v>
      </c>
    </row>
    <row r="28">
      <c r="A28" s="3" t="s">
        <v>635</v>
      </c>
      <c r="B28">
        <v>28</v>
      </c>
      <c r="C28" s="4">
        <v>0</v>
      </c>
      <c r="E28">
        <v>1</v>
      </c>
      <c r="F28">
        <v>8.7847373178617989</v>
      </c>
      <c r="G28">
        <v>0.18512739073258816</v>
      </c>
      <c r="H28">
        <v>1800</v>
      </c>
      <c r="N28">
        <f t="shared" si="56"/>
        <v>8.7847373178617989</v>
      </c>
      <c r="O28" t="str">
        <f t="shared" si="57"/>
        <v/>
      </c>
      <c r="U28">
        <v>150</v>
      </c>
      <c r="V28">
        <v>3225</v>
      </c>
    </row>
    <row r="29">
      <c r="A29" s="3" t="s">
        <v>636</v>
      </c>
      <c r="B29">
        <v>29</v>
      </c>
      <c r="C29" s="4">
        <v>0</v>
      </c>
      <c r="E29">
        <v>1</v>
      </c>
      <c r="F29">
        <v>8.5947358164276402</v>
      </c>
      <c r="G29">
        <v>0.19494419404988794</v>
      </c>
      <c r="H29">
        <v>1800</v>
      </c>
      <c r="N29">
        <f t="shared" si="56"/>
        <v>8.5947358164276402</v>
      </c>
      <c r="O29" t="str">
        <f t="shared" si="57"/>
        <v/>
      </c>
      <c r="U29">
        <v>150</v>
      </c>
      <c r="V29">
        <v>3225</v>
      </c>
    </row>
    <row r="30">
      <c r="A30" s="3" t="s">
        <v>637</v>
      </c>
      <c r="B30">
        <v>30</v>
      </c>
      <c r="C30" s="4">
        <v>0</v>
      </c>
      <c r="E30">
        <v>1</v>
      </c>
      <c r="F30">
        <v>7.898368231421121</v>
      </c>
      <c r="G30">
        <v>0.19599929536826802</v>
      </c>
      <c r="H30">
        <v>1800</v>
      </c>
      <c r="N30">
        <f t="shared" si="56"/>
        <v>7.898368231421121</v>
      </c>
      <c r="O30" t="str">
        <f t="shared" si="57"/>
        <v/>
      </c>
      <c r="U30">
        <v>150</v>
      </c>
      <c r="V30">
        <v>3225</v>
      </c>
    </row>
    <row r="31">
      <c r="A31" s="3" t="s">
        <v>638</v>
      </c>
      <c r="B31">
        <v>31</v>
      </c>
      <c r="C31" s="4">
        <v>0</v>
      </c>
      <c r="E31">
        <v>1</v>
      </c>
      <c r="F31">
        <v>7.904385729986962</v>
      </c>
      <c r="G31">
        <v>0.21298107597074808</v>
      </c>
      <c r="H31">
        <v>1800</v>
      </c>
      <c r="N31">
        <f t="shared" si="56"/>
        <v>7.904385729986962</v>
      </c>
      <c r="O31" t="str">
        <f t="shared" si="57"/>
        <v/>
      </c>
      <c r="U31">
        <v>150</v>
      </c>
      <c r="V31">
        <v>3225</v>
      </c>
    </row>
    <row r="32">
      <c r="A32" s="3" t="s">
        <v>639</v>
      </c>
      <c r="B32">
        <v>32</v>
      </c>
      <c r="C32" s="4">
        <v>0</v>
      </c>
      <c r="E32">
        <v>1</v>
      </c>
      <c r="F32">
        <v>8.362077144980443</v>
      </c>
      <c r="G32">
        <v>0.20462999523083114</v>
      </c>
      <c r="H32">
        <v>1800</v>
      </c>
      <c r="N32">
        <f t="shared" si="56"/>
        <v>8.362077144980443</v>
      </c>
      <c r="O32" t="str">
        <f t="shared" si="57"/>
        <v/>
      </c>
      <c r="U32">
        <v>150</v>
      </c>
      <c r="V32">
        <v>3225</v>
      </c>
    </row>
    <row r="33">
      <c r="A33" s="3" t="s">
        <v>640</v>
      </c>
      <c r="B33">
        <v>33</v>
      </c>
      <c r="C33" s="4">
        <v>0</v>
      </c>
      <c r="E33">
        <v>1</v>
      </c>
      <c r="F33">
        <v>7.9347476435462845</v>
      </c>
      <c r="G33">
        <v>0.25974831260772407</v>
      </c>
      <c r="H33">
        <v>1800</v>
      </c>
      <c r="N33">
        <f t="shared" si="56"/>
        <v>7.9347476435462845</v>
      </c>
      <c r="O33" t="str">
        <f t="shared" si="57"/>
        <v/>
      </c>
      <c r="U33">
        <v>150</v>
      </c>
      <c r="V33">
        <v>3225</v>
      </c>
    </row>
    <row r="34">
      <c r="A34" s="3" t="s">
        <v>641</v>
      </c>
      <c r="B34">
        <v>34</v>
      </c>
      <c r="C34" s="4">
        <v>0</v>
      </c>
      <c r="E34">
        <v>1</v>
      </c>
      <c r="F34">
        <v>8.3206000585397657</v>
      </c>
      <c r="G34">
        <v>0.19017033452781107</v>
      </c>
      <c r="H34">
        <v>1800</v>
      </c>
      <c r="N34">
        <f t="shared" si="56"/>
        <v>8.3206000585397657</v>
      </c>
      <c r="O34" t="str">
        <f t="shared" si="57"/>
        <v/>
      </c>
      <c r="U34">
        <v>150</v>
      </c>
      <c r="V34">
        <v>3225</v>
      </c>
    </row>
    <row r="35">
      <c r="A35" s="3" t="s">
        <v>642</v>
      </c>
      <c r="B35">
        <v>35</v>
      </c>
      <c r="C35" s="4">
        <v>0</v>
      </c>
      <c r="E35">
        <v>1</v>
      </c>
      <c r="F35">
        <v>8.2523645571056061</v>
      </c>
      <c r="G35">
        <v>0.19819345859540766</v>
      </c>
      <c r="H35">
        <v>1800</v>
      </c>
      <c r="N35">
        <f t="shared" si="56"/>
        <v>8.2523645571056061</v>
      </c>
      <c r="O35" t="str">
        <f t="shared" si="57"/>
        <v/>
      </c>
      <c r="U35">
        <v>150</v>
      </c>
      <c r="V35">
        <v>3225</v>
      </c>
    </row>
    <row r="36">
      <c r="A36" s="3" t="s">
        <v>643</v>
      </c>
      <c r="B36">
        <v>36</v>
      </c>
      <c r="C36" s="4">
        <v>0</v>
      </c>
      <c r="E36">
        <v>1</v>
      </c>
      <c r="F36">
        <v>7.059015972099087</v>
      </c>
      <c r="G36">
        <v>0.23158415621968695</v>
      </c>
      <c r="H36">
        <v>1800</v>
      </c>
      <c r="N36">
        <f t="shared" si="56"/>
        <v>7.059015972099087</v>
      </c>
      <c r="O36" t="str">
        <f t="shared" si="57"/>
        <v/>
      </c>
      <c r="U36">
        <v>150</v>
      </c>
      <c r="V36">
        <v>3225</v>
      </c>
    </row>
    <row r="37">
      <c r="A37" s="3" t="s">
        <v>644</v>
      </c>
      <c r="B37">
        <v>37</v>
      </c>
      <c r="C37" s="4">
        <v>0</v>
      </c>
      <c r="E37">
        <v>1</v>
      </c>
      <c r="F37">
        <v>7.7227134706649281</v>
      </c>
      <c r="G37">
        <v>0.17758960196764778</v>
      </c>
      <c r="H37">
        <v>1800</v>
      </c>
      <c r="N37">
        <f t="shared" si="56"/>
        <v>7.7227134706649281</v>
      </c>
      <c r="O37" t="str">
        <f t="shared" si="57"/>
        <v/>
      </c>
      <c r="U37">
        <v>150</v>
      </c>
      <c r="V37">
        <v>3225</v>
      </c>
    </row>
    <row r="38">
      <c r="A38" s="3" t="s">
        <v>645</v>
      </c>
      <c r="B38">
        <v>38</v>
      </c>
      <c r="C38" s="4">
        <v>0</v>
      </c>
      <c r="E38">
        <v>1</v>
      </c>
      <c r="F38">
        <v>6.6962889692307686</v>
      </c>
      <c r="G38">
        <v>0.20907580356954261</v>
      </c>
      <c r="H38">
        <v>1800</v>
      </c>
      <c r="N38">
        <f t="shared" si="56"/>
        <v>6.6962889692307686</v>
      </c>
      <c r="O38" t="str">
        <f t="shared" si="57"/>
        <v/>
      </c>
      <c r="U38">
        <v>150</v>
      </c>
      <c r="V38">
        <v>3225</v>
      </c>
    </row>
    <row r="39">
      <c r="A39" s="3" t="s">
        <v>646</v>
      </c>
      <c r="B39">
        <v>39</v>
      </c>
      <c r="C39" s="4">
        <v>0</v>
      </c>
      <c r="E39">
        <v>1</v>
      </c>
      <c r="F39">
        <v>10.025451384224249</v>
      </c>
      <c r="G39">
        <v>0.20493885548037583</v>
      </c>
      <c r="H39">
        <v>1800</v>
      </c>
      <c r="N39">
        <f t="shared" si="56"/>
        <v>10.025451384224249</v>
      </c>
      <c r="O39" t="str">
        <f t="shared" si="57"/>
        <v/>
      </c>
      <c r="U39">
        <v>150</v>
      </c>
      <c r="V39">
        <v>3225</v>
      </c>
    </row>
    <row r="40">
      <c r="A40" s="3" t="s">
        <v>647</v>
      </c>
      <c r="B40">
        <v>40</v>
      </c>
      <c r="C40" s="4">
        <v>0</v>
      </c>
      <c r="E40">
        <v>1</v>
      </c>
      <c r="F40">
        <v>11.87010388279009</v>
      </c>
      <c r="G40">
        <v>0.19771681533304536</v>
      </c>
      <c r="H40">
        <v>1800</v>
      </c>
      <c r="N40">
        <f t="shared" si="56"/>
        <v>11.87010388279009</v>
      </c>
      <c r="O40" t="str">
        <f t="shared" si="57"/>
        <v/>
      </c>
      <c r="U40">
        <v>150</v>
      </c>
      <c r="V40">
        <v>3225</v>
      </c>
    </row>
    <row r="41">
      <c r="A41" s="3" t="s">
        <v>648</v>
      </c>
      <c r="B41">
        <v>41</v>
      </c>
      <c r="C41" s="4">
        <v>0</v>
      </c>
      <c r="E41">
        <v>1</v>
      </c>
      <c r="F41">
        <v>4.0878122977835716</v>
      </c>
      <c r="G41">
        <v>0.20615380727219074</v>
      </c>
      <c r="H41">
        <v>1800</v>
      </c>
      <c r="N41">
        <f t="shared" si="56"/>
        <v>4.0878122977835716</v>
      </c>
      <c r="O41" t="str">
        <f t="shared" si="57"/>
        <v/>
      </c>
      <c r="U41">
        <v>150</v>
      </c>
      <c r="V41">
        <v>3225</v>
      </c>
    </row>
    <row r="42">
      <c r="A42" s="3" t="s">
        <v>649</v>
      </c>
      <c r="B42">
        <v>42</v>
      </c>
      <c r="C42" s="4">
        <v>0</v>
      </c>
      <c r="E42">
        <v>1</v>
      </c>
      <c r="F42">
        <v>3.859845796349413</v>
      </c>
      <c r="G42">
        <v>0.18324119103261136</v>
      </c>
      <c r="H42">
        <v>1800</v>
      </c>
      <c r="N42">
        <f t="shared" si="56"/>
        <v>3.859845796349413</v>
      </c>
      <c r="O42" t="str">
        <f t="shared" si="57"/>
        <v/>
      </c>
      <c r="U42">
        <v>150</v>
      </c>
      <c r="V42">
        <v>3225</v>
      </c>
    </row>
    <row r="43">
      <c r="A43" s="3" t="s">
        <v>650</v>
      </c>
      <c r="B43">
        <v>43</v>
      </c>
      <c r="C43" s="4">
        <v>0</v>
      </c>
      <c r="E43">
        <v>1</v>
      </c>
      <c r="F43">
        <v>4.7166752113428938</v>
      </c>
      <c r="G43">
        <v>0.17092345510541135</v>
      </c>
      <c r="H43">
        <v>1800</v>
      </c>
      <c r="N43">
        <f t="shared" si="56"/>
        <v>4.7166752113428938</v>
      </c>
      <c r="O43" t="str">
        <f t="shared" si="57"/>
        <v/>
      </c>
      <c r="U43">
        <v>150</v>
      </c>
      <c r="V43">
        <v>3225</v>
      </c>
    </row>
    <row r="44">
      <c r="A44" s="3" t="s">
        <v>651</v>
      </c>
      <c r="B44">
        <v>44</v>
      </c>
      <c r="C44" s="4">
        <v>0</v>
      </c>
      <c r="E44">
        <v>1</v>
      </c>
      <c r="F44">
        <v>4.2249097099087347</v>
      </c>
      <c r="G44">
        <v>0.21178346886157468</v>
      </c>
      <c r="H44">
        <v>1800</v>
      </c>
      <c r="N44">
        <f t="shared" si="56"/>
        <v>4.2249097099087347</v>
      </c>
      <c r="O44" t="str">
        <f t="shared" si="57"/>
        <v/>
      </c>
      <c r="U44">
        <v>150</v>
      </c>
      <c r="V44">
        <v>3225</v>
      </c>
    </row>
    <row r="45">
      <c r="A45" s="3" t="s">
        <v>652</v>
      </c>
      <c r="B45">
        <v>45</v>
      </c>
      <c r="C45" s="4">
        <v>0</v>
      </c>
      <c r="E45">
        <v>1</v>
      </c>
      <c r="F45">
        <v>3.3334041249022164</v>
      </c>
      <c r="G45">
        <v>0.19088316365989424</v>
      </c>
      <c r="H45">
        <v>1800</v>
      </c>
      <c r="N45">
        <f t="shared" si="56"/>
        <v>3.3334041249022164</v>
      </c>
      <c r="O45" t="str">
        <f t="shared" si="57"/>
        <v/>
      </c>
      <c r="U45">
        <v>150</v>
      </c>
      <c r="V45">
        <v>3225</v>
      </c>
    </row>
    <row r="46">
      <c r="A46" s="3" t="s">
        <v>653</v>
      </c>
      <c r="B46">
        <v>46</v>
      </c>
      <c r="C46" s="4">
        <v>0</v>
      </c>
      <c r="E46">
        <v>1</v>
      </c>
      <c r="F46">
        <v>4.6777916234680568</v>
      </c>
      <c r="G46">
        <v>0.18161588573294343</v>
      </c>
      <c r="H46">
        <v>1800</v>
      </c>
      <c r="N46">
        <f t="shared" si="56"/>
        <v>4.6777916234680568</v>
      </c>
      <c r="O46" t="str">
        <f t="shared" si="57"/>
        <v/>
      </c>
      <c r="U46">
        <v>150</v>
      </c>
      <c r="V46">
        <v>3225</v>
      </c>
    </row>
    <row r="47">
      <c r="A47" s="3" t="s">
        <v>654</v>
      </c>
      <c r="B47">
        <v>47</v>
      </c>
      <c r="C47" s="4">
        <v>2.63152481765955e-05</v>
      </c>
      <c r="D47" s="4">
        <f>C47/0.000028</f>
        <v>0.93983029202126789</v>
      </c>
      <c r="E47">
        <v>2</v>
      </c>
      <c r="F47">
        <v>12.98310303846154</v>
      </c>
      <c r="G47">
        <v>0.20788823603289236</v>
      </c>
      <c r="H47">
        <v>1800</v>
      </c>
      <c r="N47" t="str">
        <f t="shared" si="56"/>
        <v/>
      </c>
      <c r="O47">
        <f t="shared" si="57"/>
        <v>12.98310303846154</v>
      </c>
      <c r="U47">
        <v>150</v>
      </c>
      <c r="V47">
        <v>3225</v>
      </c>
    </row>
    <row r="48">
      <c r="A48" s="3" t="s">
        <v>655</v>
      </c>
      <c r="B48">
        <v>48</v>
      </c>
      <c r="C48" s="4">
        <v>0</v>
      </c>
      <c r="E48">
        <v>1</v>
      </c>
      <c r="F48">
        <v>5.0078135370273795</v>
      </c>
      <c r="G48">
        <v>0.20036571313344098</v>
      </c>
      <c r="H48">
        <v>1800</v>
      </c>
      <c r="N48">
        <f t="shared" si="56"/>
        <v>5.0078135370273795</v>
      </c>
      <c r="O48" t="str">
        <f t="shared" si="57"/>
        <v/>
      </c>
      <c r="U48">
        <v>150</v>
      </c>
      <c r="V48">
        <v>3225</v>
      </c>
    </row>
    <row r="49">
      <c r="A49" s="3" t="s">
        <v>656</v>
      </c>
      <c r="B49">
        <v>49</v>
      </c>
      <c r="C49" s="4">
        <v>0</v>
      </c>
      <c r="E49">
        <v>1</v>
      </c>
      <c r="F49">
        <v>5.6992959520208606</v>
      </c>
      <c r="G49">
        <v>0.18738897121615766</v>
      </c>
      <c r="H49">
        <v>1800</v>
      </c>
      <c r="N49">
        <f t="shared" si="56"/>
        <v>5.6992959520208606</v>
      </c>
      <c r="O49" t="str">
        <f t="shared" si="57"/>
        <v/>
      </c>
      <c r="U49">
        <v>150</v>
      </c>
      <c r="V49">
        <v>3225</v>
      </c>
    </row>
    <row r="50">
      <c r="A50" s="3" t="s">
        <v>657</v>
      </c>
      <c r="B50">
        <v>50</v>
      </c>
      <c r="C50" s="4">
        <v>0</v>
      </c>
      <c r="E50">
        <v>1</v>
      </c>
      <c r="F50">
        <v>5.530391450586702</v>
      </c>
      <c r="G50">
        <v>0.2079274731119829</v>
      </c>
      <c r="H50">
        <v>1800</v>
      </c>
      <c r="N50">
        <f t="shared" si="56"/>
        <v>5.530391450586702</v>
      </c>
      <c r="O50" t="str">
        <f t="shared" si="57"/>
        <v/>
      </c>
      <c r="U50">
        <v>150</v>
      </c>
      <c r="V50">
        <v>3225</v>
      </c>
    </row>
    <row r="51">
      <c r="A51" s="3" t="s">
        <v>658</v>
      </c>
      <c r="B51">
        <v>51</v>
      </c>
      <c r="C51" s="4">
        <v>0</v>
      </c>
      <c r="E51">
        <v>1</v>
      </c>
      <c r="F51">
        <v>3.7712488655801826</v>
      </c>
      <c r="G51">
        <v>0.19187075679388865</v>
      </c>
      <c r="H51">
        <v>1800</v>
      </c>
      <c r="N51">
        <f t="shared" si="56"/>
        <v>3.7712488655801826</v>
      </c>
      <c r="O51" t="str">
        <f t="shared" si="57"/>
        <v/>
      </c>
      <c r="U51">
        <v>150</v>
      </c>
      <c r="V51">
        <v>3225</v>
      </c>
    </row>
    <row r="52">
      <c r="A52" s="3" t="s">
        <v>659</v>
      </c>
      <c r="B52">
        <v>52</v>
      </c>
      <c r="C52" s="4">
        <v>2.22954266007376e-05</v>
      </c>
      <c r="D52" s="4">
        <f t="shared" ref="D52:D54" si="60">C52/0.00005</f>
        <v>0.445908532014752</v>
      </c>
      <c r="E52">
        <v>2</v>
      </c>
      <c r="F52">
        <v>10.757288364146024</v>
      </c>
      <c r="G52">
        <v>0.19251545876720022</v>
      </c>
      <c r="H52">
        <v>1800</v>
      </c>
      <c r="N52" t="str">
        <f t="shared" si="56"/>
        <v/>
      </c>
      <c r="O52">
        <f t="shared" si="57"/>
        <v>10.757288364146024</v>
      </c>
      <c r="U52">
        <v>150</v>
      </c>
      <c r="V52">
        <v>3225</v>
      </c>
    </row>
    <row r="53">
      <c r="A53" s="3" t="s">
        <v>660</v>
      </c>
      <c r="B53">
        <v>53</v>
      </c>
      <c r="C53" s="4">
        <v>3.5950295172683699e-05</v>
      </c>
      <c r="D53" s="4">
        <f t="shared" si="60"/>
        <v>0.71900590345367399</v>
      </c>
      <c r="E53">
        <v>2</v>
      </c>
      <c r="F53">
        <v>16.539351779139505</v>
      </c>
      <c r="G53">
        <v>0.18712896412393343</v>
      </c>
      <c r="H53">
        <v>1800</v>
      </c>
      <c r="N53" t="str">
        <f t="shared" si="56"/>
        <v/>
      </c>
      <c r="O53">
        <f t="shared" si="57"/>
        <v>16.539351779139505</v>
      </c>
      <c r="U53">
        <v>150</v>
      </c>
      <c r="V53">
        <v>3225</v>
      </c>
    </row>
    <row r="54">
      <c r="A54" s="3" t="s">
        <v>661</v>
      </c>
      <c r="B54">
        <v>54</v>
      </c>
      <c r="C54" s="4">
        <v>4.6730615537594299e-05</v>
      </c>
      <c r="D54" s="4">
        <f t="shared" si="60"/>
        <v>0.93461231075188589</v>
      </c>
      <c r="E54">
        <v>2</v>
      </c>
      <c r="F54">
        <v>17.414554277705346</v>
      </c>
      <c r="G54">
        <v>0.17599055750204773</v>
      </c>
      <c r="H54">
        <v>1800</v>
      </c>
      <c r="N54" t="str">
        <f t="shared" si="56"/>
        <v/>
      </c>
      <c r="O54">
        <f t="shared" si="57"/>
        <v>17.414554277705346</v>
      </c>
      <c r="U54">
        <v>150</v>
      </c>
      <c r="V54">
        <v>3225</v>
      </c>
    </row>
    <row r="55">
      <c r="A55" s="3" t="s">
        <v>662</v>
      </c>
      <c r="B55">
        <v>55</v>
      </c>
      <c r="C55" s="4">
        <v>0</v>
      </c>
      <c r="E55">
        <v>1</v>
      </c>
      <c r="F55">
        <v>7.4189636926988261</v>
      </c>
      <c r="G55">
        <v>0.18644607599548341</v>
      </c>
      <c r="H55">
        <v>1800</v>
      </c>
      <c r="N55">
        <f t="shared" si="56"/>
        <v>7.4189636926988261</v>
      </c>
      <c r="O55" t="str">
        <f t="shared" si="57"/>
        <v/>
      </c>
      <c r="U55">
        <v>150</v>
      </c>
      <c r="V55">
        <v>3225</v>
      </c>
    </row>
    <row r="56">
      <c r="A56" s="3" t="s">
        <v>663</v>
      </c>
      <c r="B56">
        <v>56</v>
      </c>
      <c r="C56" s="4">
        <v>0</v>
      </c>
      <c r="E56">
        <v>1</v>
      </c>
      <c r="F56">
        <v>8.5313431912646678</v>
      </c>
      <c r="G56">
        <v>0.19827792176260162</v>
      </c>
      <c r="H56">
        <v>1800</v>
      </c>
      <c r="N56">
        <f t="shared" si="56"/>
        <v>8.5313431912646678</v>
      </c>
      <c r="O56" t="str">
        <f t="shared" si="57"/>
        <v/>
      </c>
      <c r="U56">
        <v>150</v>
      </c>
      <c r="V56">
        <v>3225</v>
      </c>
    </row>
    <row r="57">
      <c r="A57" s="3" t="s">
        <v>664</v>
      </c>
      <c r="B57">
        <v>57</v>
      </c>
      <c r="C57" s="4">
        <v>0</v>
      </c>
      <c r="E57">
        <v>1</v>
      </c>
      <c r="F57">
        <v>7.7272696062581483</v>
      </c>
      <c r="G57">
        <v>0.22649969876967513</v>
      </c>
      <c r="H57">
        <v>1800</v>
      </c>
      <c r="N57">
        <f t="shared" si="56"/>
        <v>7.7272696062581483</v>
      </c>
      <c r="O57" t="str">
        <f t="shared" si="57"/>
        <v/>
      </c>
      <c r="U57">
        <v>150</v>
      </c>
      <c r="V57">
        <v>3225</v>
      </c>
    </row>
    <row r="58">
      <c r="A58" s="3" t="s">
        <v>665</v>
      </c>
      <c r="B58">
        <v>58</v>
      </c>
      <c r="E58">
        <v>5</v>
      </c>
      <c r="F58">
        <v>4.7814971048239894</v>
      </c>
      <c r="G58">
        <v>0.1690166574784816</v>
      </c>
      <c r="H58">
        <v>1800</v>
      </c>
      <c r="N58" t="str">
        <f t="shared" si="56"/>
        <v/>
      </c>
      <c r="O58" t="str">
        <f t="shared" si="57"/>
        <v/>
      </c>
      <c r="U58">
        <v>150</v>
      </c>
      <c r="V58">
        <v>3225</v>
      </c>
    </row>
    <row r="59">
      <c r="A59" s="3" t="s">
        <v>666</v>
      </c>
      <c r="B59">
        <v>59</v>
      </c>
      <c r="E59">
        <v>5</v>
      </c>
      <c r="F59">
        <v>2.4187345198174706</v>
      </c>
      <c r="G59">
        <v>0.19607516993080376</v>
      </c>
      <c r="H59">
        <v>1800</v>
      </c>
      <c r="N59" t="str">
        <f t="shared" si="56"/>
        <v/>
      </c>
      <c r="O59" t="str">
        <f t="shared" si="57"/>
        <v/>
      </c>
      <c r="U59">
        <v>150</v>
      </c>
      <c r="V59">
        <v>3225</v>
      </c>
    </row>
    <row r="60">
      <c r="A60" s="3" t="s">
        <v>667</v>
      </c>
      <c r="B60">
        <v>60</v>
      </c>
      <c r="E60">
        <v>5</v>
      </c>
      <c r="F60">
        <v>1.0135940183833112</v>
      </c>
      <c r="G60">
        <v>0.21319016244826675</v>
      </c>
      <c r="H60">
        <v>1800</v>
      </c>
      <c r="N60" t="str">
        <f t="shared" si="56"/>
        <v/>
      </c>
      <c r="O60" t="str">
        <f t="shared" si="57"/>
        <v/>
      </c>
      <c r="U60">
        <v>150</v>
      </c>
      <c r="V60">
        <v>3225</v>
      </c>
    </row>
    <row r="61">
      <c r="A61" s="3" t="s">
        <v>668</v>
      </c>
      <c r="B61">
        <v>61</v>
      </c>
      <c r="E61">
        <v>5</v>
      </c>
      <c r="F61">
        <v>0.03296443337679289</v>
      </c>
      <c r="G61">
        <v>0.2200789240095252</v>
      </c>
      <c r="H61">
        <v>1800</v>
      </c>
      <c r="N61" t="str">
        <f t="shared" si="56"/>
        <v/>
      </c>
      <c r="O61" t="str">
        <f t="shared" si="57"/>
        <v/>
      </c>
      <c r="U61">
        <v>150</v>
      </c>
      <c r="V61">
        <v>3225</v>
      </c>
    </row>
    <row r="62">
      <c r="A62" s="3" t="s">
        <v>669</v>
      </c>
      <c r="B62">
        <v>62</v>
      </c>
      <c r="E62">
        <v>5</v>
      </c>
      <c r="F62">
        <v>0.18156593194263326</v>
      </c>
      <c r="G62">
        <v>0.20591336221393297</v>
      </c>
      <c r="H62">
        <v>1800</v>
      </c>
      <c r="N62" t="str">
        <f t="shared" si="56"/>
        <v/>
      </c>
      <c r="O62" t="str">
        <f t="shared" si="57"/>
        <v/>
      </c>
      <c r="U62">
        <v>150</v>
      </c>
      <c r="V62">
        <v>3225</v>
      </c>
    </row>
    <row r="63">
      <c r="A63" s="3" t="s">
        <v>670</v>
      </c>
      <c r="B63">
        <v>63</v>
      </c>
      <c r="E63">
        <v>5</v>
      </c>
      <c r="F63">
        <v>0.26470343050847411</v>
      </c>
      <c r="G63">
        <v>0.18192068574404718</v>
      </c>
      <c r="H63">
        <v>1800</v>
      </c>
      <c r="N63" t="str">
        <f t="shared" si="56"/>
        <v/>
      </c>
      <c r="O63" t="str">
        <f t="shared" si="57"/>
        <v/>
      </c>
      <c r="U63">
        <v>150</v>
      </c>
      <c r="V63">
        <v>3225</v>
      </c>
    </row>
    <row r="64">
      <c r="A64" s="3" t="s">
        <v>671</v>
      </c>
      <c r="B64">
        <v>64</v>
      </c>
      <c r="C64" s="5">
        <v>6.4999999999999994e-05</v>
      </c>
      <c r="D64" s="4">
        <f>C64/0.00009</f>
        <v>0.7222222222222221</v>
      </c>
      <c r="E64">
        <v>2</v>
      </c>
      <c r="F64">
        <v>18.688632845501957</v>
      </c>
      <c r="G64">
        <v>0.19827425657616868</v>
      </c>
      <c r="H64">
        <v>1800</v>
      </c>
      <c r="N64" t="str">
        <f t="shared" si="56"/>
        <v/>
      </c>
      <c r="O64">
        <f t="shared" si="57"/>
        <v>18.688632845501957</v>
      </c>
      <c r="U64">
        <v>150</v>
      </c>
      <c r="V64">
        <v>3225</v>
      </c>
    </row>
    <row r="65">
      <c r="A65" s="3" t="s">
        <v>672</v>
      </c>
      <c r="B65">
        <v>65</v>
      </c>
      <c r="C65" s="4">
        <v>8.3178368311746697e-05</v>
      </c>
      <c r="D65" s="4">
        <f t="shared" ref="D65:D68" si="61">C65/0.0001</f>
        <v>0.83178368311746698</v>
      </c>
      <c r="E65">
        <v>2</v>
      </c>
      <c r="F65">
        <v>16.769542344067798</v>
      </c>
      <c r="G65">
        <v>0.18905680954107409</v>
      </c>
      <c r="H65">
        <v>1800</v>
      </c>
      <c r="N65" t="str">
        <f t="shared" si="56"/>
        <v/>
      </c>
      <c r="O65">
        <f t="shared" si="57"/>
        <v>16.769542344067798</v>
      </c>
      <c r="U65">
        <v>150</v>
      </c>
      <c r="V65">
        <v>3225</v>
      </c>
    </row>
    <row r="66">
      <c r="A66" s="3" t="s">
        <v>673</v>
      </c>
      <c r="B66">
        <v>66</v>
      </c>
      <c r="C66" s="4">
        <v>5.6801815824775601e-05</v>
      </c>
      <c r="D66" s="4">
        <f t="shared" si="61"/>
        <v>0.56801815824775603</v>
      </c>
      <c r="E66">
        <v>2</v>
      </c>
      <c r="F66">
        <v>14.697425759061279</v>
      </c>
      <c r="G66">
        <v>0.19220998015579618</v>
      </c>
      <c r="H66">
        <v>1800</v>
      </c>
      <c r="N66" t="str">
        <f t="shared" ref="N66:N129" si="62">IF(E66=1,F66,"")</f>
        <v/>
      </c>
      <c r="O66">
        <f t="shared" ref="O66" si="63">IF(E66=2,F66,"")</f>
        <v>14.697425759061279</v>
      </c>
      <c r="U66">
        <v>150</v>
      </c>
      <c r="V66">
        <v>3225</v>
      </c>
    </row>
    <row r="67">
      <c r="A67" s="3" t="s">
        <v>674</v>
      </c>
      <c r="B67">
        <v>67</v>
      </c>
      <c r="C67" s="4">
        <v>3.4305385934751202e-05</v>
      </c>
      <c r="D67" s="4">
        <f t="shared" si="61"/>
        <v>0.34305385934751198</v>
      </c>
      <c r="E67">
        <v>2</v>
      </c>
      <c r="F67">
        <v>14.244246257627118</v>
      </c>
      <c r="G67">
        <v>0.17518447018387895</v>
      </c>
      <c r="H67">
        <v>1800</v>
      </c>
      <c r="N67" t="str">
        <f t="shared" si="62"/>
        <v/>
      </c>
      <c r="O67">
        <f t="shared" ref="O67:O130" si="64">IF(E67=2,F67,"")</f>
        <v>14.244246257627118</v>
      </c>
      <c r="U67">
        <v>150</v>
      </c>
      <c r="V67">
        <v>3225</v>
      </c>
    </row>
    <row r="68">
      <c r="A68" s="3" t="s">
        <v>675</v>
      </c>
      <c r="B68">
        <v>68</v>
      </c>
      <c r="C68" s="4">
        <v>1.38203081830198e-05</v>
      </c>
      <c r="D68" s="4">
        <f t="shared" si="61"/>
        <v>0.138203081830198</v>
      </c>
      <c r="E68">
        <v>2</v>
      </c>
      <c r="F68">
        <v>14.551530672620601</v>
      </c>
      <c r="G68">
        <v>0.19423909414442905</v>
      </c>
      <c r="H68">
        <v>1800</v>
      </c>
      <c r="N68" t="str">
        <f t="shared" si="62"/>
        <v/>
      </c>
      <c r="O68">
        <f t="shared" si="64"/>
        <v>14.551530672620601</v>
      </c>
      <c r="U68">
        <v>150</v>
      </c>
      <c r="V68">
        <v>3225</v>
      </c>
    </row>
    <row r="69">
      <c r="A69" s="3" t="s">
        <v>676</v>
      </c>
      <c r="B69">
        <v>69</v>
      </c>
      <c r="C69" s="4">
        <v>0</v>
      </c>
      <c r="D69" s="4"/>
      <c r="E69">
        <v>1</v>
      </c>
      <c r="F69">
        <v>6.0643726211864406</v>
      </c>
      <c r="G69">
        <v>0.18644437325216431</v>
      </c>
      <c r="H69">
        <v>1800</v>
      </c>
      <c r="N69">
        <f t="shared" si="62"/>
        <v>6.0643726211864406</v>
      </c>
      <c r="O69" t="str">
        <f t="shared" si="64"/>
        <v/>
      </c>
      <c r="U69">
        <v>150</v>
      </c>
      <c r="V69">
        <v>3225</v>
      </c>
    </row>
    <row r="70">
      <c r="A70" s="3" t="s">
        <v>677</v>
      </c>
      <c r="B70">
        <v>70</v>
      </c>
      <c r="C70" s="4">
        <v>0</v>
      </c>
      <c r="D70" s="4"/>
      <c r="E70">
        <v>1</v>
      </c>
      <c r="F70">
        <v>6.5194276697522806</v>
      </c>
      <c r="G70">
        <v>0.19034409903617075</v>
      </c>
      <c r="H70">
        <v>1800</v>
      </c>
      <c r="N70">
        <f t="shared" si="62"/>
        <v>6.5194276697522806</v>
      </c>
      <c r="O70" t="str">
        <f t="shared" si="64"/>
        <v/>
      </c>
      <c r="U70">
        <v>150</v>
      </c>
      <c r="V70">
        <v>3225</v>
      </c>
    </row>
    <row r="71">
      <c r="A71" s="3" t="s">
        <v>678</v>
      </c>
      <c r="B71">
        <v>71</v>
      </c>
      <c r="C71" s="4">
        <v>0</v>
      </c>
      <c r="D71" s="4"/>
      <c r="E71">
        <v>1</v>
      </c>
      <c r="F71">
        <v>8.5080210847457618</v>
      </c>
      <c r="G71">
        <v>0.17506062937732619</v>
      </c>
      <c r="H71">
        <v>1800</v>
      </c>
      <c r="N71">
        <f t="shared" si="62"/>
        <v>8.5080210847457618</v>
      </c>
      <c r="O71" t="str">
        <f t="shared" si="64"/>
        <v/>
      </c>
      <c r="U71">
        <v>150</v>
      </c>
      <c r="V71">
        <v>3225</v>
      </c>
    </row>
    <row r="72">
      <c r="A72" s="3" t="s">
        <v>679</v>
      </c>
      <c r="B72">
        <v>72</v>
      </c>
      <c r="C72" s="4">
        <v>0</v>
      </c>
      <c r="D72" s="4"/>
      <c r="E72">
        <v>1</v>
      </c>
      <c r="F72">
        <v>9.6271395833116031</v>
      </c>
      <c r="G72">
        <v>0.20520310612646772</v>
      </c>
      <c r="H72">
        <v>1800</v>
      </c>
      <c r="N72">
        <f t="shared" si="62"/>
        <v>9.6271395833116031</v>
      </c>
      <c r="O72" t="str">
        <f t="shared" si="64"/>
        <v/>
      </c>
      <c r="U72">
        <v>150</v>
      </c>
      <c r="V72">
        <v>3225</v>
      </c>
    </row>
    <row r="73">
      <c r="A73" s="3" t="s">
        <v>680</v>
      </c>
      <c r="B73">
        <v>73</v>
      </c>
      <c r="C73" s="4">
        <v>1.3713586059375401e-05</v>
      </c>
      <c r="D73" s="4">
        <f t="shared" ref="D73:D77" si="65">C73/0.00008</f>
        <v>0.1714198257421925</v>
      </c>
      <c r="E73">
        <v>2</v>
      </c>
      <c r="F73">
        <v>12.924437998305084</v>
      </c>
      <c r="G73">
        <v>0.19219067126542422</v>
      </c>
      <c r="H73">
        <v>1800</v>
      </c>
      <c r="N73" t="str">
        <f t="shared" si="62"/>
        <v/>
      </c>
      <c r="O73">
        <f t="shared" si="64"/>
        <v>12.924437998305084</v>
      </c>
      <c r="U73">
        <v>150</v>
      </c>
      <c r="V73">
        <v>3225</v>
      </c>
    </row>
    <row r="74">
      <c r="A74" s="3" t="s">
        <v>681</v>
      </c>
      <c r="B74">
        <v>74</v>
      </c>
      <c r="C74" s="4">
        <v>3.9426559920704398e-05</v>
      </c>
      <c r="D74" s="4">
        <f t="shared" si="65"/>
        <v>0.49283199900880492</v>
      </c>
      <c r="E74">
        <v>2</v>
      </c>
      <c r="F74">
        <v>14.359890496870925</v>
      </c>
      <c r="G74">
        <v>0.17341363353546216</v>
      </c>
      <c r="H74">
        <v>1800</v>
      </c>
      <c r="N74" t="str">
        <f t="shared" si="62"/>
        <v/>
      </c>
      <c r="O74">
        <f t="shared" si="64"/>
        <v>14.359890496870925</v>
      </c>
      <c r="U74">
        <v>150</v>
      </c>
      <c r="V74">
        <v>3225</v>
      </c>
    </row>
    <row r="75">
      <c r="A75" s="3" t="s">
        <v>682</v>
      </c>
      <c r="B75">
        <v>75</v>
      </c>
      <c r="C75" s="4">
        <v>4.3162409247914797e-05</v>
      </c>
      <c r="D75" s="4">
        <f t="shared" si="65"/>
        <v>0.53953011559893493</v>
      </c>
      <c r="E75">
        <v>2</v>
      </c>
      <c r="F75">
        <v>14.212730911864407</v>
      </c>
      <c r="G75">
        <v>0.18595509071256955</v>
      </c>
      <c r="H75">
        <v>1800</v>
      </c>
      <c r="N75" t="str">
        <f t="shared" si="62"/>
        <v/>
      </c>
      <c r="O75">
        <f t="shared" si="64"/>
        <v>14.212730911864407</v>
      </c>
      <c r="U75">
        <v>150</v>
      </c>
      <c r="V75">
        <v>3225</v>
      </c>
    </row>
    <row r="76">
      <c r="A76" s="3" t="s">
        <v>683</v>
      </c>
      <c r="B76">
        <v>76</v>
      </c>
      <c r="C76" s="4">
        <v>5.5810251797436697e-05</v>
      </c>
      <c r="D76" s="4">
        <f t="shared" si="65"/>
        <v>0.69762814746795865</v>
      </c>
      <c r="E76">
        <v>2</v>
      </c>
      <c r="F76">
        <v>13.021572410430247</v>
      </c>
      <c r="G76">
        <v>0.17355121507981547</v>
      </c>
      <c r="H76">
        <v>1800</v>
      </c>
      <c r="N76" t="str">
        <f t="shared" si="62"/>
        <v/>
      </c>
      <c r="O76">
        <f t="shared" si="64"/>
        <v>13.021572410430247</v>
      </c>
      <c r="U76">
        <v>150</v>
      </c>
      <c r="V76">
        <v>3225</v>
      </c>
    </row>
    <row r="77">
      <c r="A77" s="3" t="s">
        <v>684</v>
      </c>
      <c r="B77">
        <v>77</v>
      </c>
      <c r="C77" s="4">
        <v>6.0290085408222399e-05</v>
      </c>
      <c r="D77" s="4">
        <f t="shared" si="65"/>
        <v>0.75362606760277995</v>
      </c>
      <c r="E77">
        <v>2</v>
      </c>
      <c r="F77">
        <v>13.732069908996088</v>
      </c>
      <c r="G77">
        <v>0.18494975812474038</v>
      </c>
      <c r="H77">
        <v>1800</v>
      </c>
      <c r="N77" t="str">
        <f t="shared" si="62"/>
        <v/>
      </c>
      <c r="O77">
        <f t="shared" si="64"/>
        <v>13.732069908996088</v>
      </c>
      <c r="U77">
        <v>150</v>
      </c>
      <c r="V77">
        <v>3225</v>
      </c>
    </row>
    <row r="78">
      <c r="A78" s="3" t="s">
        <v>685</v>
      </c>
      <c r="B78">
        <v>78</v>
      </c>
      <c r="C78" s="4">
        <v>0</v>
      </c>
      <c r="D78" s="4"/>
      <c r="E78">
        <v>1</v>
      </c>
      <c r="F78">
        <v>9.4758793239895702</v>
      </c>
      <c r="G78">
        <v>0.1855249153849918</v>
      </c>
      <c r="H78">
        <v>1800</v>
      </c>
      <c r="N78">
        <f t="shared" si="62"/>
        <v>9.4758793239895702</v>
      </c>
      <c r="O78" t="str">
        <f t="shared" si="64"/>
        <v/>
      </c>
      <c r="U78">
        <v>150</v>
      </c>
      <c r="V78">
        <v>3225</v>
      </c>
    </row>
    <row r="79">
      <c r="A79" s="3" t="s">
        <v>686</v>
      </c>
      <c r="B79">
        <v>79</v>
      </c>
      <c r="C79" s="4">
        <v>0</v>
      </c>
      <c r="D79" s="4"/>
      <c r="E79">
        <v>1</v>
      </c>
      <c r="F79">
        <v>8.0031568225554111</v>
      </c>
      <c r="G79">
        <v>0.18548207621143767</v>
      </c>
      <c r="H79">
        <v>1800</v>
      </c>
      <c r="N79">
        <f t="shared" si="62"/>
        <v>8.0031568225554111</v>
      </c>
      <c r="O79" t="str">
        <f t="shared" si="64"/>
        <v/>
      </c>
      <c r="U79">
        <v>150</v>
      </c>
      <c r="V79">
        <v>3225</v>
      </c>
    </row>
    <row r="80">
      <c r="A80" s="3" t="s">
        <v>687</v>
      </c>
      <c r="B80">
        <v>80</v>
      </c>
      <c r="C80" s="6">
        <v>5.6495543511581599e-06</v>
      </c>
      <c r="D80" s="6">
        <f t="shared" ref="D80:D81" si="66">C80/0.000006</f>
        <v>0.94159239185969323</v>
      </c>
      <c r="E80">
        <v>2</v>
      </c>
      <c r="F80">
        <v>15.137757237548891</v>
      </c>
      <c r="G80">
        <v>0.25165135472426919</v>
      </c>
      <c r="H80">
        <v>1800</v>
      </c>
      <c r="N80" t="str">
        <f t="shared" si="62"/>
        <v/>
      </c>
      <c r="O80">
        <f t="shared" si="64"/>
        <v>15.137757237548891</v>
      </c>
      <c r="U80">
        <v>150</v>
      </c>
      <c r="V80">
        <v>3225</v>
      </c>
    </row>
    <row r="81">
      <c r="A81" s="3" t="s">
        <v>688</v>
      </c>
      <c r="B81">
        <v>81</v>
      </c>
      <c r="C81" s="6">
        <v>3.8203081830198496e-06</v>
      </c>
      <c r="D81" s="6">
        <f t="shared" si="66"/>
        <v>0.63671803050330822</v>
      </c>
      <c r="E81">
        <v>2</v>
      </c>
      <c r="F81">
        <v>13.154288736114733</v>
      </c>
      <c r="G81">
        <v>0.20781001522322154</v>
      </c>
      <c r="H81">
        <v>1800</v>
      </c>
      <c r="N81" t="str">
        <f t="shared" si="62"/>
        <v/>
      </c>
      <c r="O81">
        <f t="shared" si="64"/>
        <v>13.154288736114733</v>
      </c>
      <c r="U81">
        <v>150</v>
      </c>
      <c r="V81">
        <v>3225</v>
      </c>
    </row>
    <row r="82">
      <c r="A82" s="3" t="s">
        <v>689</v>
      </c>
      <c r="B82">
        <v>82</v>
      </c>
      <c r="C82" s="6">
        <v>0</v>
      </c>
      <c r="E82">
        <v>1</v>
      </c>
      <c r="F82">
        <v>8.5762801511082145</v>
      </c>
      <c r="G82">
        <v>0.18566456464142952</v>
      </c>
      <c r="H82">
        <v>1800</v>
      </c>
      <c r="N82">
        <f t="shared" si="62"/>
        <v>8.5762801511082145</v>
      </c>
      <c r="O82" t="str">
        <f t="shared" si="64"/>
        <v/>
      </c>
      <c r="U82">
        <v>150</v>
      </c>
      <c r="V82">
        <v>3225</v>
      </c>
    </row>
    <row r="83">
      <c r="A83" s="3" t="s">
        <v>690</v>
      </c>
      <c r="B83">
        <v>83</v>
      </c>
      <c r="C83" s="6">
        <v>0</v>
      </c>
      <c r="E83">
        <v>1</v>
      </c>
      <c r="F83">
        <v>8.5248856496740544</v>
      </c>
      <c r="G83">
        <v>0.18352030241784251</v>
      </c>
      <c r="H83">
        <v>1800</v>
      </c>
      <c r="N83">
        <f t="shared" si="62"/>
        <v>8.5248856496740544</v>
      </c>
      <c r="O83" t="str">
        <f t="shared" si="64"/>
        <v/>
      </c>
      <c r="U83">
        <v>150</v>
      </c>
      <c r="V83">
        <v>3225</v>
      </c>
    </row>
    <row r="84">
      <c r="A84" s="3" t="s">
        <v>691</v>
      </c>
      <c r="B84">
        <v>84</v>
      </c>
      <c r="C84" s="6">
        <v>0</v>
      </c>
      <c r="E84">
        <v>1</v>
      </c>
      <c r="F84">
        <v>7.3155591482398954</v>
      </c>
      <c r="G84">
        <v>0.16860570920637763</v>
      </c>
      <c r="H84">
        <v>1800</v>
      </c>
      <c r="N84">
        <f t="shared" si="62"/>
        <v>7.3155591482398954</v>
      </c>
      <c r="O84" t="str">
        <f t="shared" si="64"/>
        <v/>
      </c>
      <c r="U84">
        <v>150</v>
      </c>
      <c r="V84">
        <v>3225</v>
      </c>
    </row>
    <row r="85">
      <c r="A85" s="3" t="s">
        <v>692</v>
      </c>
      <c r="B85">
        <v>85</v>
      </c>
      <c r="C85" s="6">
        <v>0</v>
      </c>
      <c r="E85">
        <v>1</v>
      </c>
      <c r="F85">
        <v>9.1471335632333766</v>
      </c>
      <c r="G85">
        <v>0.21149426342035846</v>
      </c>
      <c r="H85">
        <v>1800</v>
      </c>
      <c r="N85">
        <f t="shared" si="62"/>
        <v>9.1471335632333766</v>
      </c>
      <c r="O85" t="str">
        <f t="shared" si="64"/>
        <v/>
      </c>
      <c r="U85">
        <v>150</v>
      </c>
      <c r="V85">
        <v>3225</v>
      </c>
    </row>
    <row r="86">
      <c r="A86" s="3" t="s">
        <v>693</v>
      </c>
      <c r="B86">
        <v>86</v>
      </c>
      <c r="C86" s="4">
        <v>4.3015574098639098e-05</v>
      </c>
      <c r="D86" s="4">
        <f t="shared" ref="D86:D92" si="67">C86/0.00005</f>
        <v>0.86031148197278196</v>
      </c>
      <c r="E86">
        <v>2</v>
      </c>
      <c r="F86">
        <v>14.935491061799217</v>
      </c>
      <c r="G86">
        <v>0.20744568861727247</v>
      </c>
      <c r="H86">
        <v>1800</v>
      </c>
      <c r="N86" t="str">
        <f t="shared" si="62"/>
        <v/>
      </c>
      <c r="O86">
        <f t="shared" si="64"/>
        <v>14.935491061799217</v>
      </c>
      <c r="U86">
        <v>150</v>
      </c>
      <c r="V86">
        <v>3225</v>
      </c>
    </row>
    <row r="87">
      <c r="A87" s="3" t="s">
        <v>694</v>
      </c>
      <c r="B87">
        <v>87</v>
      </c>
      <c r="C87" s="4">
        <v>3.40238662148434e-05</v>
      </c>
      <c r="D87" s="4">
        <f t="shared" si="67"/>
        <v>0.68047732429686802</v>
      </c>
      <c r="E87">
        <v>2</v>
      </c>
      <c r="F87">
        <v>15.143486476792699</v>
      </c>
      <c r="G87">
        <v>0.21167574435820552</v>
      </c>
      <c r="H87">
        <v>1800</v>
      </c>
      <c r="N87" t="str">
        <f t="shared" si="62"/>
        <v/>
      </c>
      <c r="O87">
        <f t="shared" si="64"/>
        <v>15.143486476792699</v>
      </c>
      <c r="U87">
        <v>150</v>
      </c>
      <c r="V87">
        <v>3225</v>
      </c>
    </row>
    <row r="88">
      <c r="A88" s="3" t="s">
        <v>695</v>
      </c>
      <c r="B88">
        <v>92</v>
      </c>
      <c r="C88" s="4">
        <v>3.1538452924260998e-05</v>
      </c>
      <c r="D88" s="4">
        <f t="shared" si="67"/>
        <v>0.63076905848521991</v>
      </c>
      <c r="E88">
        <v>2</v>
      </c>
      <c r="F88">
        <v>17.563748802477182</v>
      </c>
      <c r="G88">
        <v>0.19400401617378535</v>
      </c>
      <c r="H88">
        <v>1800</v>
      </c>
      <c r="N88" t="str">
        <f t="shared" si="62"/>
        <v/>
      </c>
      <c r="O88">
        <f t="shared" si="64"/>
        <v>17.563748802477182</v>
      </c>
      <c r="U88">
        <v>150</v>
      </c>
      <c r="V88">
        <v>3225</v>
      </c>
    </row>
    <row r="89">
      <c r="A89" s="3" t="s">
        <v>696</v>
      </c>
      <c r="B89">
        <v>88</v>
      </c>
      <c r="C89" s="4">
        <v>1.7648751246740601e-05</v>
      </c>
      <c r="D89" s="4">
        <f t="shared" si="67"/>
        <v>0.35297502493481203</v>
      </c>
      <c r="E89">
        <v>2</v>
      </c>
      <c r="F89">
        <v>17.335952975358538</v>
      </c>
      <c r="G89">
        <v>0.18196954873107307</v>
      </c>
      <c r="H89">
        <v>1800</v>
      </c>
      <c r="N89" t="str">
        <f t="shared" si="62"/>
        <v/>
      </c>
      <c r="O89">
        <f t="shared" si="64"/>
        <v>17.335952975358538</v>
      </c>
      <c r="U89">
        <v>150</v>
      </c>
      <c r="V89">
        <v>3225</v>
      </c>
    </row>
    <row r="90">
      <c r="A90" s="3" t="s">
        <v>697</v>
      </c>
      <c r="B90">
        <v>89</v>
      </c>
      <c r="C90" s="4">
        <v>1.54887266e-05</v>
      </c>
      <c r="D90" s="4">
        <f t="shared" si="67"/>
        <v>0.30977453199999999</v>
      </c>
      <c r="E90">
        <v>2</v>
      </c>
      <c r="F90">
        <v>16.60033339035202</v>
      </c>
      <c r="G90">
        <v>0.1683918931052204</v>
      </c>
      <c r="H90">
        <v>1800</v>
      </c>
      <c r="N90" t="str">
        <f t="shared" si="62"/>
        <v/>
      </c>
      <c r="O90">
        <f t="shared" si="64"/>
        <v>16.60033339035202</v>
      </c>
      <c r="U90">
        <v>150</v>
      </c>
      <c r="V90">
        <v>3225</v>
      </c>
    </row>
    <row r="91">
      <c r="A91" s="3" t="s">
        <v>698</v>
      </c>
      <c r="B91">
        <v>90</v>
      </c>
      <c r="C91" s="4">
        <v>1.4545454545454401e-05</v>
      </c>
      <c r="D91" s="4">
        <f t="shared" si="67"/>
        <v>0.29090909090908801</v>
      </c>
      <c r="E91">
        <v>2</v>
      </c>
      <c r="F91">
        <v>14.045796888917863</v>
      </c>
      <c r="G91">
        <v>0.17410232623710564</v>
      </c>
      <c r="H91">
        <v>1800</v>
      </c>
      <c r="N91" t="str">
        <f t="shared" si="62"/>
        <v/>
      </c>
      <c r="O91">
        <f t="shared" si="64"/>
        <v>14.045796888917863</v>
      </c>
      <c r="U91">
        <v>150</v>
      </c>
      <c r="V91">
        <v>3225</v>
      </c>
    </row>
    <row r="92">
      <c r="A92" s="3" t="s">
        <v>699</v>
      </c>
      <c r="B92">
        <v>91</v>
      </c>
      <c r="C92" s="4">
        <v>9.6969696969696908e-06</v>
      </c>
      <c r="D92" s="4">
        <f t="shared" si="67"/>
        <v>0.1939393939393938</v>
      </c>
      <c r="E92">
        <v>2</v>
      </c>
      <c r="F92">
        <v>17.315594303911343</v>
      </c>
      <c r="G92">
        <v>0.19940689524737695</v>
      </c>
      <c r="H92">
        <v>1800</v>
      </c>
      <c r="N92" t="str">
        <f t="shared" si="62"/>
        <v/>
      </c>
      <c r="O92">
        <f t="shared" si="64"/>
        <v>17.315594303911343</v>
      </c>
      <c r="U92">
        <v>150</v>
      </c>
      <c r="V92">
        <v>3225</v>
      </c>
    </row>
    <row r="93">
      <c r="A93" s="3" t="s">
        <v>700</v>
      </c>
      <c r="B93">
        <v>93</v>
      </c>
      <c r="C93" s="4">
        <v>0</v>
      </c>
      <c r="D93" s="4"/>
      <c r="E93">
        <v>1</v>
      </c>
      <c r="F93">
        <v>10.196504217470665</v>
      </c>
      <c r="G93">
        <v>0.20292659187274686</v>
      </c>
      <c r="H93">
        <v>1800</v>
      </c>
      <c r="N93">
        <f t="shared" si="62"/>
        <v>10.196504217470665</v>
      </c>
      <c r="O93" t="str">
        <f t="shared" si="64"/>
        <v/>
      </c>
      <c r="U93">
        <v>150</v>
      </c>
      <c r="V93">
        <v>3225</v>
      </c>
    </row>
    <row r="94">
      <c r="A94" s="3" t="s">
        <v>701</v>
      </c>
      <c r="B94">
        <v>94</v>
      </c>
      <c r="C94" s="4">
        <v>0</v>
      </c>
      <c r="D94" s="4"/>
      <c r="E94">
        <v>1</v>
      </c>
      <c r="F94">
        <v>9.1218647160365052</v>
      </c>
      <c r="G94">
        <v>0.19144111451341264</v>
      </c>
      <c r="H94">
        <v>1800</v>
      </c>
      <c r="N94">
        <f t="shared" si="62"/>
        <v>9.1218647160365052</v>
      </c>
      <c r="O94" t="str">
        <f t="shared" si="64"/>
        <v/>
      </c>
      <c r="U94">
        <v>150</v>
      </c>
      <c r="V94">
        <v>3225</v>
      </c>
    </row>
    <row r="95">
      <c r="A95" s="3" t="s">
        <v>702</v>
      </c>
      <c r="B95">
        <v>95</v>
      </c>
      <c r="C95" s="4">
        <v>0</v>
      </c>
      <c r="D95" s="4"/>
      <c r="E95">
        <v>1</v>
      </c>
      <c r="F95">
        <v>5.9857009310299869</v>
      </c>
      <c r="G95">
        <v>0.20247197811687417</v>
      </c>
      <c r="H95">
        <v>1800</v>
      </c>
      <c r="N95">
        <f t="shared" si="62"/>
        <v>5.9857009310299869</v>
      </c>
      <c r="O95" t="str">
        <f t="shared" si="64"/>
        <v/>
      </c>
      <c r="U95">
        <v>150</v>
      </c>
      <c r="V95">
        <v>3225</v>
      </c>
    </row>
    <row r="96">
      <c r="A96" s="3" t="s">
        <v>703</v>
      </c>
      <c r="B96">
        <v>96</v>
      </c>
      <c r="C96" s="4">
        <v>0</v>
      </c>
      <c r="D96" s="4"/>
      <c r="E96">
        <v>1</v>
      </c>
      <c r="F96">
        <v>5.5403256295958281</v>
      </c>
      <c r="G96">
        <v>0.19593164349219441</v>
      </c>
      <c r="H96">
        <v>1800</v>
      </c>
      <c r="N96">
        <f t="shared" si="62"/>
        <v>5.5403256295958281</v>
      </c>
      <c r="O96" t="str">
        <f t="shared" si="64"/>
        <v/>
      </c>
      <c r="U96">
        <v>150</v>
      </c>
      <c r="V96">
        <v>3225</v>
      </c>
    </row>
    <row r="97">
      <c r="A97" s="3" t="s">
        <v>704</v>
      </c>
      <c r="B97">
        <v>97</v>
      </c>
      <c r="C97" s="4">
        <v>0</v>
      </c>
      <c r="D97" s="4"/>
      <c r="E97">
        <v>1</v>
      </c>
      <c r="F97">
        <v>7.6412460445893089</v>
      </c>
      <c r="G97">
        <v>0.16972015331184323</v>
      </c>
      <c r="H97">
        <v>1800</v>
      </c>
      <c r="N97">
        <f t="shared" si="62"/>
        <v>7.6412460445893089</v>
      </c>
      <c r="O97" t="str">
        <f t="shared" si="64"/>
        <v/>
      </c>
      <c r="U97">
        <v>150</v>
      </c>
      <c r="V97">
        <v>3225</v>
      </c>
    </row>
    <row r="98">
      <c r="A98" s="3" t="s">
        <v>705</v>
      </c>
      <c r="B98">
        <v>98</v>
      </c>
      <c r="C98" s="4">
        <v>1.35452894093542e-05</v>
      </c>
      <c r="D98" s="4">
        <f>C98/0.00002</f>
        <v>0.67726447046770999</v>
      </c>
      <c r="E98">
        <v>2</v>
      </c>
      <c r="F98">
        <v>12.95856054315515</v>
      </c>
      <c r="G98">
        <v>0.18695968308942323</v>
      </c>
      <c r="H98">
        <v>1800</v>
      </c>
      <c r="N98" t="str">
        <f t="shared" si="62"/>
        <v/>
      </c>
      <c r="O98">
        <f t="shared" si="64"/>
        <v>12.95856054315515</v>
      </c>
      <c r="U98">
        <v>150</v>
      </c>
      <c r="V98">
        <v>3225</v>
      </c>
    </row>
    <row r="99">
      <c r="A99" s="3" t="s">
        <v>706</v>
      </c>
      <c r="B99">
        <v>99</v>
      </c>
      <c r="C99" s="4">
        <v>0</v>
      </c>
      <c r="D99" s="4"/>
      <c r="E99">
        <v>1</v>
      </c>
      <c r="F99">
        <v>8.6724219581486306</v>
      </c>
      <c r="G99">
        <v>0.18691247478608691</v>
      </c>
      <c r="H99">
        <v>1800</v>
      </c>
      <c r="N99">
        <f t="shared" si="62"/>
        <v>8.6724219581486306</v>
      </c>
      <c r="O99" t="str">
        <f t="shared" si="64"/>
        <v/>
      </c>
      <c r="U99">
        <v>150</v>
      </c>
      <c r="V99">
        <v>3225</v>
      </c>
    </row>
    <row r="100">
      <c r="A100" s="3" t="s">
        <v>707</v>
      </c>
      <c r="B100">
        <v>100</v>
      </c>
      <c r="C100" s="4">
        <v>9.4476474596345694e-06</v>
      </c>
      <c r="D100" s="4">
        <f>C100/0.00001</f>
        <v>0.94476474596345683</v>
      </c>
      <c r="E100">
        <v>2</v>
      </c>
      <c r="F100">
        <v>12.947674456714472</v>
      </c>
      <c r="G100">
        <v>0.19061367685327191</v>
      </c>
      <c r="H100">
        <v>1800</v>
      </c>
      <c r="N100" t="str">
        <f t="shared" si="62"/>
        <v/>
      </c>
      <c r="O100">
        <f t="shared" si="64"/>
        <v>12.947674456714472</v>
      </c>
      <c r="U100">
        <v>150</v>
      </c>
      <c r="V100">
        <v>3225</v>
      </c>
    </row>
    <row r="101">
      <c r="A101" s="3" t="s">
        <v>708</v>
      </c>
      <c r="B101">
        <v>101</v>
      </c>
      <c r="C101" s="4">
        <v>0</v>
      </c>
      <c r="E101">
        <v>1</v>
      </c>
      <c r="F101">
        <v>11.045968871707952</v>
      </c>
      <c r="G101">
        <v>0.19499561255160172</v>
      </c>
      <c r="H101">
        <v>1800</v>
      </c>
      <c r="N101">
        <f t="shared" si="62"/>
        <v>11.045968871707952</v>
      </c>
      <c r="O101" t="str">
        <f t="shared" si="64"/>
        <v/>
      </c>
      <c r="U101">
        <v>150</v>
      </c>
      <c r="V101">
        <v>3225</v>
      </c>
    </row>
    <row r="102">
      <c r="A102" s="3" t="s">
        <v>709</v>
      </c>
      <c r="B102">
        <v>102</v>
      </c>
      <c r="C102" s="4">
        <v>0</v>
      </c>
      <c r="E102">
        <v>1</v>
      </c>
      <c r="F102">
        <v>10.376306370273795</v>
      </c>
      <c r="G102">
        <v>0.17298345885134905</v>
      </c>
      <c r="H102">
        <v>1800</v>
      </c>
      <c r="N102">
        <f t="shared" si="62"/>
        <v>10.376306370273795</v>
      </c>
      <c r="O102" t="str">
        <f t="shared" si="64"/>
        <v/>
      </c>
      <c r="U102">
        <v>150</v>
      </c>
      <c r="V102">
        <v>3225</v>
      </c>
    </row>
    <row r="103">
      <c r="A103" s="3" t="s">
        <v>710</v>
      </c>
      <c r="B103">
        <v>103</v>
      </c>
      <c r="C103" s="4">
        <v>0</v>
      </c>
      <c r="E103">
        <v>1</v>
      </c>
      <c r="F103">
        <v>9.108554785267275</v>
      </c>
      <c r="G103">
        <v>0.19345399492133103</v>
      </c>
      <c r="H103">
        <v>1800</v>
      </c>
      <c r="N103">
        <f t="shared" si="62"/>
        <v>9.108554785267275</v>
      </c>
      <c r="O103" t="str">
        <f t="shared" si="64"/>
        <v/>
      </c>
      <c r="U103">
        <v>150</v>
      </c>
      <c r="V103">
        <v>3225</v>
      </c>
    </row>
    <row r="104">
      <c r="A104" s="3" t="s">
        <v>711</v>
      </c>
      <c r="B104">
        <v>104</v>
      </c>
      <c r="C104" s="4">
        <v>0</v>
      </c>
      <c r="E104">
        <v>1</v>
      </c>
      <c r="F104">
        <v>9.3981812838331145</v>
      </c>
      <c r="G104">
        <v>0.18578923871264011</v>
      </c>
      <c r="H104">
        <v>1800</v>
      </c>
      <c r="N104">
        <f t="shared" si="62"/>
        <v>9.3981812838331145</v>
      </c>
      <c r="O104" t="str">
        <f t="shared" si="64"/>
        <v/>
      </c>
      <c r="U104">
        <v>150</v>
      </c>
      <c r="V104">
        <v>3225</v>
      </c>
    </row>
    <row r="105">
      <c r="A105" s="3" t="s">
        <v>712</v>
      </c>
      <c r="B105">
        <v>105</v>
      </c>
      <c r="C105" s="4">
        <v>0</v>
      </c>
      <c r="E105">
        <v>1</v>
      </c>
      <c r="F105">
        <v>10.322026698826598</v>
      </c>
      <c r="G105">
        <v>0.19862266644153573</v>
      </c>
      <c r="H105">
        <v>1800</v>
      </c>
      <c r="N105">
        <f t="shared" si="62"/>
        <v>10.322026698826598</v>
      </c>
      <c r="O105" t="str">
        <f t="shared" si="64"/>
        <v/>
      </c>
      <c r="U105">
        <v>150</v>
      </c>
      <c r="V105">
        <v>3225</v>
      </c>
    </row>
    <row r="106">
      <c r="A106" s="3" t="s">
        <v>713</v>
      </c>
      <c r="B106">
        <v>108</v>
      </c>
      <c r="C106" s="4">
        <v>2.2983049858099999e-05</v>
      </c>
      <c r="D106" s="4">
        <f t="shared" ref="D106:D108" si="68">C106/0.000025</f>
        <v>0.91932199432399997</v>
      </c>
      <c r="E106">
        <v>2</v>
      </c>
      <c r="F106">
        <v>14.768522027379399</v>
      </c>
      <c r="G106">
        <v>0.21588074951666156</v>
      </c>
      <c r="H106">
        <v>1800</v>
      </c>
      <c r="N106" t="str">
        <f t="shared" si="62"/>
        <v/>
      </c>
      <c r="O106">
        <f t="shared" si="64"/>
        <v>14.768522027379399</v>
      </c>
      <c r="U106">
        <v>150</v>
      </c>
      <c r="V106">
        <v>3225</v>
      </c>
    </row>
    <row r="107">
      <c r="A107" s="3" t="s">
        <v>714</v>
      </c>
      <c r="B107">
        <v>106</v>
      </c>
      <c r="C107" s="4">
        <v>1.84303130628825e-05</v>
      </c>
      <c r="D107" s="4">
        <f t="shared" si="68"/>
        <v>0.73721252251530001</v>
      </c>
      <c r="E107">
        <v>2</v>
      </c>
      <c r="F107">
        <v>16.103341113820079</v>
      </c>
      <c r="G107">
        <v>0.18112960695416408</v>
      </c>
      <c r="H107">
        <v>1800</v>
      </c>
      <c r="N107" t="str">
        <f t="shared" si="62"/>
        <v/>
      </c>
      <c r="O107">
        <f t="shared" si="64"/>
        <v>16.103341113820079</v>
      </c>
      <c r="U107">
        <v>150</v>
      </c>
      <c r="V107">
        <v>3225</v>
      </c>
    </row>
    <row r="108">
      <c r="A108" s="3" t="s">
        <v>715</v>
      </c>
      <c r="B108">
        <v>107</v>
      </c>
      <c r="C108" s="4">
        <v>8.1416983049858101e-06</v>
      </c>
      <c r="D108" s="4">
        <f t="shared" si="68"/>
        <v>0.32566793219943241</v>
      </c>
      <c r="E108">
        <v>2</v>
      </c>
      <c r="F108">
        <v>12.329242612385919</v>
      </c>
      <c r="G108">
        <v>0.18086287945212076</v>
      </c>
      <c r="H108">
        <v>1800</v>
      </c>
      <c r="N108" t="str">
        <f t="shared" si="62"/>
        <v/>
      </c>
      <c r="O108">
        <f t="shared" si="64"/>
        <v>12.329242612385919</v>
      </c>
      <c r="U108">
        <v>150</v>
      </c>
      <c r="V108">
        <v>3225</v>
      </c>
    </row>
    <row r="109">
      <c r="A109" s="3" t="s">
        <v>716</v>
      </c>
      <c r="B109">
        <v>109</v>
      </c>
      <c r="C109" s="4">
        <v>0</v>
      </c>
      <c r="E109">
        <v>3</v>
      </c>
      <c r="F109">
        <v>13.451527525945242</v>
      </c>
      <c r="G109">
        <v>0.23084969984824663</v>
      </c>
      <c r="H109">
        <v>1800</v>
      </c>
      <c r="N109" t="str">
        <f t="shared" si="62"/>
        <v/>
      </c>
      <c r="O109" t="str">
        <f t="shared" si="64"/>
        <v/>
      </c>
      <c r="U109">
        <v>150</v>
      </c>
      <c r="V109">
        <v>3225</v>
      </c>
    </row>
    <row r="110">
      <c r="A110" s="3" t="s">
        <v>717</v>
      </c>
      <c r="B110">
        <v>110</v>
      </c>
      <c r="C110" s="4">
        <v>0</v>
      </c>
      <c r="E110">
        <v>3</v>
      </c>
      <c r="F110">
        <v>14.783617940938722</v>
      </c>
      <c r="G110">
        <v>1.5277915674183309</v>
      </c>
      <c r="H110">
        <v>1800</v>
      </c>
      <c r="N110" t="str">
        <f t="shared" si="62"/>
        <v/>
      </c>
      <c r="O110" t="str">
        <f t="shared" si="64"/>
        <v/>
      </c>
      <c r="U110">
        <v>150</v>
      </c>
      <c r="V110">
        <v>3225</v>
      </c>
    </row>
    <row r="111">
      <c r="A111" s="3" t="s">
        <v>718</v>
      </c>
      <c r="B111">
        <v>111</v>
      </c>
      <c r="C111" s="4">
        <v>0</v>
      </c>
      <c r="E111">
        <v>3</v>
      </c>
      <c r="F111">
        <v>18.445800355932203</v>
      </c>
      <c r="G111">
        <v>1.9813196691989305</v>
      </c>
      <c r="H111">
        <v>1800</v>
      </c>
      <c r="N111" t="str">
        <f t="shared" si="62"/>
        <v/>
      </c>
      <c r="O111" t="str">
        <f t="shared" si="64"/>
        <v/>
      </c>
      <c r="U111">
        <v>150</v>
      </c>
      <c r="V111">
        <v>3225</v>
      </c>
    </row>
    <row r="112">
      <c r="A112" s="3" t="s">
        <v>719</v>
      </c>
      <c r="B112">
        <v>112</v>
      </c>
      <c r="E112">
        <v>3</v>
      </c>
      <c r="F112">
        <v>15.513651854498043</v>
      </c>
      <c r="G112">
        <v>3.4363028975104277</v>
      </c>
      <c r="H112">
        <v>1800</v>
      </c>
      <c r="N112" t="str">
        <f t="shared" si="62"/>
        <v/>
      </c>
      <c r="O112" t="str">
        <f t="shared" si="64"/>
        <v/>
      </c>
      <c r="U112">
        <v>150</v>
      </c>
      <c r="V112">
        <v>3225</v>
      </c>
    </row>
    <row r="113">
      <c r="A113" s="3" t="s">
        <v>720</v>
      </c>
      <c r="B113">
        <v>113</v>
      </c>
      <c r="E113">
        <v>3</v>
      </c>
      <c r="F113">
        <v>23.739697353063882</v>
      </c>
      <c r="G113">
        <v>6.3369864983793809</v>
      </c>
      <c r="H113">
        <v>1800</v>
      </c>
      <c r="N113" t="str">
        <f t="shared" si="62"/>
        <v/>
      </c>
      <c r="O113" t="str">
        <f t="shared" si="64"/>
        <v/>
      </c>
      <c r="U113">
        <v>150</v>
      </c>
      <c r="V113">
        <v>3225</v>
      </c>
    </row>
    <row r="114">
      <c r="A114" s="3" t="s">
        <v>721</v>
      </c>
      <c r="B114">
        <v>114</v>
      </c>
      <c r="E114">
        <v>3</v>
      </c>
      <c r="F114">
        <v>13.615912768057367</v>
      </c>
      <c r="G114">
        <v>15.769668658410756</v>
      </c>
      <c r="H114">
        <v>1800</v>
      </c>
      <c r="N114" t="str">
        <f t="shared" si="62"/>
        <v/>
      </c>
      <c r="O114" t="str">
        <f t="shared" si="64"/>
        <v/>
      </c>
      <c r="U114">
        <v>150</v>
      </c>
      <c r="V114">
        <v>3225</v>
      </c>
    </row>
    <row r="115">
      <c r="A115" s="3" t="s">
        <v>722</v>
      </c>
      <c r="B115">
        <v>115</v>
      </c>
      <c r="C115">
        <v>0</v>
      </c>
      <c r="E115">
        <v>1</v>
      </c>
      <c r="F115">
        <v>11.456179266623208</v>
      </c>
      <c r="G115">
        <v>5.4433447097385406</v>
      </c>
      <c r="H115">
        <v>1800</v>
      </c>
      <c r="N115">
        <f t="shared" si="62"/>
        <v>11.456179266623208</v>
      </c>
      <c r="O115" t="str">
        <f t="shared" si="64"/>
        <v/>
      </c>
      <c r="U115">
        <v>150</v>
      </c>
      <c r="V115">
        <v>3225</v>
      </c>
    </row>
    <row r="116">
      <c r="A116" s="3" t="s">
        <v>723</v>
      </c>
      <c r="B116">
        <v>116</v>
      </c>
      <c r="C116" s="4">
        <v>2.0000000000000002e-05</v>
      </c>
      <c r="D116" s="4">
        <f t="shared" ref="D116:D123" si="69">C116/0.00015</f>
        <v>0.13333333333333336</v>
      </c>
      <c r="E116">
        <v>2</v>
      </c>
      <c r="F116">
        <v>19.047738681616689</v>
      </c>
      <c r="G116">
        <v>0.20026056772938691</v>
      </c>
      <c r="H116">
        <v>1800</v>
      </c>
      <c r="N116" t="str">
        <f t="shared" si="62"/>
        <v/>
      </c>
      <c r="O116">
        <f t="shared" si="64"/>
        <v>19.047738681616689</v>
      </c>
      <c r="U116">
        <v>150</v>
      </c>
      <c r="V116">
        <v>3225</v>
      </c>
    </row>
    <row r="117">
      <c r="A117" s="3" t="s">
        <v>724</v>
      </c>
      <c r="B117">
        <v>117</v>
      </c>
      <c r="C117" s="4">
        <f>C116+0.000012</f>
        <v>3.2000000000000005e-05</v>
      </c>
      <c r="D117" s="4">
        <f t="shared" si="69"/>
        <v>0.21333333333333337</v>
      </c>
      <c r="E117">
        <v>2</v>
      </c>
      <c r="F117">
        <v>16.68392818018253</v>
      </c>
      <c r="G117">
        <v>0.19491158970520858</v>
      </c>
      <c r="H117">
        <v>1800</v>
      </c>
      <c r="N117" t="str">
        <f t="shared" si="62"/>
        <v/>
      </c>
      <c r="O117">
        <f t="shared" si="64"/>
        <v>16.68392818018253</v>
      </c>
      <c r="U117">
        <v>150</v>
      </c>
      <c r="V117">
        <v>3225</v>
      </c>
    </row>
    <row r="118">
      <c r="A118" s="3" t="s">
        <v>725</v>
      </c>
      <c r="B118">
        <v>122</v>
      </c>
      <c r="C118" s="4">
        <f>C121-0.00004</f>
        <v>4.2544550000000009e-05</v>
      </c>
      <c r="D118" s="4">
        <f t="shared" si="69"/>
        <v>0.28363033333333343</v>
      </c>
      <c r="E118">
        <v>2</v>
      </c>
      <c r="F118">
        <v>17.267561505867015</v>
      </c>
      <c r="G118">
        <v>0.18473522748022364</v>
      </c>
      <c r="H118">
        <v>1800</v>
      </c>
      <c r="N118" t="str">
        <f t="shared" si="62"/>
        <v/>
      </c>
      <c r="O118">
        <f t="shared" si="64"/>
        <v>17.267561505867015</v>
      </c>
      <c r="U118">
        <v>150</v>
      </c>
      <c r="V118">
        <v>3225</v>
      </c>
    </row>
    <row r="119">
      <c r="A119" s="3" t="s">
        <v>726</v>
      </c>
      <c r="B119">
        <v>123</v>
      </c>
      <c r="C119" s="4">
        <f>0.000054</f>
        <v>5.3999999999999998e-05</v>
      </c>
      <c r="D119" s="4">
        <f t="shared" si="69"/>
        <v>0.36000000000000004</v>
      </c>
      <c r="E119">
        <v>2</v>
      </c>
      <c r="F119">
        <v>16.795699004432855</v>
      </c>
      <c r="G119">
        <v>0.1676728408657871</v>
      </c>
      <c r="H119">
        <v>1800</v>
      </c>
      <c r="N119" t="str">
        <f t="shared" si="62"/>
        <v/>
      </c>
      <c r="O119">
        <f t="shared" si="64"/>
        <v>16.795699004432855</v>
      </c>
      <c r="U119">
        <v>150</v>
      </c>
      <c r="V119">
        <v>3225</v>
      </c>
    </row>
    <row r="120">
      <c r="A120" s="3" t="s">
        <v>727</v>
      </c>
      <c r="B120">
        <v>118</v>
      </c>
      <c r="C120" s="4">
        <f>C117+0.00004</f>
        <v>7.2000000000000015e-05</v>
      </c>
      <c r="D120" s="4">
        <f t="shared" si="69"/>
        <v>0.48000000000000015</v>
      </c>
      <c r="E120">
        <v>2</v>
      </c>
      <c r="F120">
        <v>15.101533678748371</v>
      </c>
      <c r="G120">
        <v>0.17318662693582426</v>
      </c>
      <c r="H120">
        <v>1800</v>
      </c>
      <c r="N120" t="str">
        <f t="shared" si="62"/>
        <v/>
      </c>
      <c r="O120">
        <f t="shared" si="64"/>
        <v>15.101533678748371</v>
      </c>
      <c r="U120">
        <v>150</v>
      </c>
      <c r="V120">
        <v>3225</v>
      </c>
    </row>
    <row r="121">
      <c r="A121" s="3" t="s">
        <v>728</v>
      </c>
      <c r="B121">
        <v>121</v>
      </c>
      <c r="C121" s="4">
        <f>C122-0.00004</f>
        <v>8.2544550000000013e-05</v>
      </c>
      <c r="D121" s="4">
        <f t="shared" si="69"/>
        <v>0.55029700000000015</v>
      </c>
      <c r="E121">
        <v>2</v>
      </c>
      <c r="F121">
        <v>16.507100007301176</v>
      </c>
      <c r="G121">
        <v>0.17651299184142216</v>
      </c>
      <c r="H121">
        <v>1800</v>
      </c>
      <c r="N121" t="str">
        <f t="shared" si="62"/>
        <v/>
      </c>
      <c r="O121">
        <f t="shared" si="64"/>
        <v>16.507100007301176</v>
      </c>
      <c r="U121">
        <v>150</v>
      </c>
      <c r="V121">
        <v>3225</v>
      </c>
    </row>
    <row r="122">
      <c r="A122" s="3" t="s">
        <v>729</v>
      </c>
      <c r="B122">
        <v>120</v>
      </c>
      <c r="C122" s="4">
        <v>0.00012254455000000001</v>
      </c>
      <c r="D122" s="4">
        <f t="shared" si="69"/>
        <v>0.81696366666666675</v>
      </c>
      <c r="E122">
        <v>2</v>
      </c>
      <c r="F122">
        <v>16.01536759230769</v>
      </c>
      <c r="G122">
        <v>0.16980952310987615</v>
      </c>
      <c r="H122">
        <v>1800</v>
      </c>
      <c r="N122" t="str">
        <f t="shared" si="62"/>
        <v/>
      </c>
      <c r="O122">
        <f t="shared" si="64"/>
        <v>16.01536759230769</v>
      </c>
      <c r="U122">
        <v>150</v>
      </c>
      <c r="V122">
        <v>3225</v>
      </c>
    </row>
    <row r="123">
      <c r="A123" s="3" t="s">
        <v>730</v>
      </c>
      <c r="B123">
        <v>119</v>
      </c>
      <c r="C123">
        <v>0.00010009999999999999</v>
      </c>
      <c r="D123" s="4">
        <f t="shared" si="69"/>
        <v>0.66733333333333333</v>
      </c>
      <c r="E123">
        <v>2</v>
      </c>
      <c r="F123">
        <v>16.356313093741853</v>
      </c>
      <c r="G123">
        <v>0.16123595006448893</v>
      </c>
      <c r="H123">
        <v>1800</v>
      </c>
      <c r="N123" t="str">
        <f t="shared" si="62"/>
        <v/>
      </c>
      <c r="O123">
        <f t="shared" si="64"/>
        <v>16.356313093741853</v>
      </c>
      <c r="U123">
        <v>150</v>
      </c>
      <c r="V123">
        <v>3225</v>
      </c>
    </row>
    <row r="124">
      <c r="A124" s="3" t="s">
        <v>731</v>
      </c>
      <c r="B124">
        <v>124</v>
      </c>
      <c r="C124">
        <v>0</v>
      </c>
      <c r="E124">
        <v>1</v>
      </c>
      <c r="F124">
        <v>10.963820419426336</v>
      </c>
      <c r="G124">
        <v>0.19338870673650405</v>
      </c>
      <c r="H124">
        <v>1800</v>
      </c>
      <c r="N124">
        <f t="shared" si="62"/>
        <v>10.963820419426336</v>
      </c>
      <c r="O124" t="str">
        <f t="shared" si="64"/>
        <v/>
      </c>
      <c r="U124">
        <v>150</v>
      </c>
      <c r="V124">
        <v>3225</v>
      </c>
    </row>
    <row r="125">
      <c r="A125" s="3" t="s">
        <v>732</v>
      </c>
      <c r="B125">
        <v>125</v>
      </c>
      <c r="C125">
        <v>0</v>
      </c>
      <c r="E125">
        <v>1</v>
      </c>
      <c r="F125">
        <v>3.686827917992177</v>
      </c>
      <c r="G125">
        <v>0.19149701461227631</v>
      </c>
      <c r="H125">
        <v>1800</v>
      </c>
      <c r="N125">
        <f t="shared" si="62"/>
        <v>3.686827917992177</v>
      </c>
      <c r="O125" t="str">
        <f t="shared" si="64"/>
        <v/>
      </c>
      <c r="U125">
        <v>150</v>
      </c>
      <c r="V125">
        <v>3225</v>
      </c>
    </row>
    <row r="126">
      <c r="A126" s="3" t="s">
        <v>733</v>
      </c>
      <c r="B126">
        <v>126</v>
      </c>
      <c r="C126">
        <v>0</v>
      </c>
      <c r="E126">
        <v>1</v>
      </c>
      <c r="F126">
        <v>3.4303643329856581</v>
      </c>
      <c r="G126">
        <v>0.18687195815455665</v>
      </c>
      <c r="H126">
        <v>1800</v>
      </c>
      <c r="N126">
        <f t="shared" si="62"/>
        <v>3.4303643329856581</v>
      </c>
      <c r="O126" t="str">
        <f t="shared" si="64"/>
        <v/>
      </c>
      <c r="U126">
        <v>150</v>
      </c>
      <c r="V126">
        <v>3225</v>
      </c>
    </row>
    <row r="127">
      <c r="A127" s="3" t="s">
        <v>734</v>
      </c>
      <c r="B127">
        <v>130</v>
      </c>
      <c r="C127" s="4">
        <v>3.3220508834218802e-05</v>
      </c>
      <c r="D127" s="4">
        <f>C127/0.00004</f>
        <v>0.83051272085547001</v>
      </c>
      <c r="E127">
        <v>2</v>
      </c>
      <c r="F127">
        <v>17.33457423841422</v>
      </c>
      <c r="H127">
        <v>1800</v>
      </c>
      <c r="N127" t="str">
        <f t="shared" si="62"/>
        <v/>
      </c>
      <c r="O127">
        <f t="shared" si="64"/>
        <v>17.33457423841422</v>
      </c>
      <c r="U127">
        <v>150</v>
      </c>
      <c r="V127">
        <v>3225</v>
      </c>
    </row>
    <row r="128">
      <c r="A128" s="3" t="s">
        <v>735</v>
      </c>
      <c r="B128">
        <v>131</v>
      </c>
      <c r="C128">
        <v>0</v>
      </c>
      <c r="E128">
        <v>1</v>
      </c>
      <c r="F128">
        <v>12.984539507450444</v>
      </c>
      <c r="H128">
        <v>1800</v>
      </c>
      <c r="N128">
        <f t="shared" si="62"/>
        <v>12.984539507450444</v>
      </c>
      <c r="O128" t="str">
        <f t="shared" si="64"/>
        <v/>
      </c>
      <c r="U128">
        <v>150</v>
      </c>
      <c r="V128">
        <v>3225</v>
      </c>
    </row>
    <row r="129">
      <c r="A129" s="3" t="s">
        <v>736</v>
      </c>
      <c r="B129">
        <v>132</v>
      </c>
      <c r="C129">
        <v>0</v>
      </c>
      <c r="E129">
        <v>1</v>
      </c>
      <c r="F129">
        <v>13.462035821326044</v>
      </c>
      <c r="H129">
        <v>1800</v>
      </c>
      <c r="N129">
        <f t="shared" si="62"/>
        <v>13.462035821326044</v>
      </c>
      <c r="O129" t="str">
        <f t="shared" si="64"/>
        <v/>
      </c>
      <c r="U129">
        <v>150</v>
      </c>
      <c r="V129">
        <v>3225</v>
      </c>
    </row>
    <row r="130">
      <c r="A130" s="3" t="s">
        <v>737</v>
      </c>
      <c r="B130">
        <v>133</v>
      </c>
      <c r="C130">
        <v>0</v>
      </c>
      <c r="E130">
        <v>1</v>
      </c>
      <c r="F130">
        <v>13.230755090362269</v>
      </c>
      <c r="H130">
        <v>1800</v>
      </c>
      <c r="N130">
        <f t="shared" ref="N130:N144" si="70">IF(E130=1,F130,"")</f>
        <v>13.230755090362269</v>
      </c>
      <c r="O130" t="str">
        <f t="shared" si="64"/>
        <v/>
      </c>
      <c r="U130">
        <v>150</v>
      </c>
      <c r="V130">
        <v>3225</v>
      </c>
    </row>
    <row r="131">
      <c r="A131" s="3" t="s">
        <v>738</v>
      </c>
      <c r="B131">
        <v>134</v>
      </c>
      <c r="C131" s="4">
        <v>5.7610130575845498e-05</v>
      </c>
      <c r="D131" s="4">
        <f t="shared" ref="D131:D135" si="71">C131/0.00007</f>
        <v>0.82300186536922149</v>
      </c>
      <c r="E131">
        <v>2</v>
      </c>
      <c r="F131">
        <v>18.651724404237868</v>
      </c>
      <c r="H131">
        <v>1800</v>
      </c>
      <c r="N131" t="str">
        <f t="shared" si="70"/>
        <v/>
      </c>
      <c r="O131">
        <f t="shared" ref="O131:O144" si="72">IF(E131=2,F131,"")</f>
        <v>18.651724404237868</v>
      </c>
      <c r="U131">
        <v>150</v>
      </c>
      <c r="V131">
        <v>3225</v>
      </c>
    </row>
    <row r="132">
      <c r="A132" s="3" t="s">
        <v>739</v>
      </c>
      <c r="B132">
        <v>136</v>
      </c>
      <c r="C132" s="4">
        <v>4.6198423155317502e-05</v>
      </c>
      <c r="D132" s="4">
        <f t="shared" si="71"/>
        <v>0.6599774736473929</v>
      </c>
      <c r="E132">
        <v>2</v>
      </c>
      <c r="F132">
        <v>18.455370987149692</v>
      </c>
      <c r="H132">
        <v>1800</v>
      </c>
      <c r="N132" t="str">
        <f t="shared" si="70"/>
        <v/>
      </c>
      <c r="O132">
        <f t="shared" si="72"/>
        <v>18.455370987149692</v>
      </c>
      <c r="U132">
        <v>150</v>
      </c>
      <c r="V132">
        <v>3225</v>
      </c>
    </row>
    <row r="133">
      <c r="A133" s="3" t="s">
        <v>740</v>
      </c>
      <c r="B133">
        <v>135</v>
      </c>
      <c r="C133" s="4">
        <v>2.92930318704539e-05</v>
      </c>
      <c r="D133" s="4">
        <f t="shared" si="71"/>
        <v>0.41847188386362716</v>
      </c>
      <c r="E133">
        <v>2</v>
      </c>
      <c r="F133">
        <v>17.053135673274095</v>
      </c>
      <c r="H133">
        <v>1800</v>
      </c>
      <c r="N133" t="str">
        <f t="shared" si="70"/>
        <v/>
      </c>
      <c r="O133">
        <f t="shared" si="72"/>
        <v>17.053135673274095</v>
      </c>
      <c r="U133">
        <v>150</v>
      </c>
      <c r="V133">
        <v>3225</v>
      </c>
    </row>
    <row r="134">
      <c r="A134" s="3" t="s">
        <v>741</v>
      </c>
      <c r="B134">
        <v>137</v>
      </c>
      <c r="C134" s="4">
        <v>6.9362883608016499e-05</v>
      </c>
      <c r="D134" s="4">
        <f t="shared" si="71"/>
        <v>0.99089833725737864</v>
      </c>
      <c r="E134">
        <v>2</v>
      </c>
      <c r="F134">
        <v>19.257229256185919</v>
      </c>
      <c r="H134">
        <v>1800</v>
      </c>
      <c r="N134" t="str">
        <f t="shared" si="70"/>
        <v/>
      </c>
      <c r="O134">
        <f t="shared" si="72"/>
        <v>19.257229256185919</v>
      </c>
      <c r="U134">
        <v>150</v>
      </c>
      <c r="V134">
        <v>3225</v>
      </c>
    </row>
    <row r="135">
      <c r="A135" s="3" t="s">
        <v>742</v>
      </c>
      <c r="B135">
        <v>138</v>
      </c>
      <c r="C135" s="4">
        <v>3.1692302043304099e-05</v>
      </c>
      <c r="D135" s="4">
        <f t="shared" si="71"/>
        <v>0.45274717204720144</v>
      </c>
      <c r="E135">
        <v>2</v>
      </c>
      <c r="F135">
        <v>16.800859570061519</v>
      </c>
      <c r="H135">
        <v>1800</v>
      </c>
      <c r="N135" t="str">
        <f t="shared" si="70"/>
        <v/>
      </c>
      <c r="O135">
        <f t="shared" si="72"/>
        <v>16.800859570061519</v>
      </c>
      <c r="U135">
        <v>150</v>
      </c>
      <c r="V135">
        <v>3225</v>
      </c>
    </row>
    <row r="136">
      <c r="A136" s="3" t="s">
        <v>743</v>
      </c>
      <c r="B136">
        <v>139</v>
      </c>
      <c r="C136" s="4">
        <v>0</v>
      </c>
      <c r="D136" s="4"/>
      <c r="E136">
        <v>1</v>
      </c>
      <c r="F136">
        <v>10.708845839097744</v>
      </c>
      <c r="H136">
        <v>1800</v>
      </c>
      <c r="N136">
        <f t="shared" si="70"/>
        <v>10.708845839097744</v>
      </c>
      <c r="O136" t="str">
        <f t="shared" si="72"/>
        <v/>
      </c>
      <c r="U136">
        <v>150</v>
      </c>
      <c r="V136">
        <v>3225</v>
      </c>
    </row>
    <row r="137">
      <c r="A137" s="3" t="s">
        <v>744</v>
      </c>
      <c r="B137">
        <v>140</v>
      </c>
      <c r="C137" s="4">
        <v>0</v>
      </c>
      <c r="D137" s="4"/>
      <c r="E137">
        <v>1</v>
      </c>
      <c r="F137">
        <v>11.195274152973344</v>
      </c>
      <c r="H137">
        <v>1800</v>
      </c>
      <c r="N137">
        <f t="shared" si="70"/>
        <v>11.195274152973344</v>
      </c>
      <c r="O137" t="str">
        <f t="shared" si="72"/>
        <v/>
      </c>
      <c r="U137">
        <v>150</v>
      </c>
      <c r="V137">
        <v>3225</v>
      </c>
    </row>
    <row r="138">
      <c r="A138" s="3" t="s">
        <v>745</v>
      </c>
      <c r="B138">
        <v>141</v>
      </c>
      <c r="C138" s="4">
        <v>5.1186809522950702e-05</v>
      </c>
      <c r="D138" s="4">
        <f t="shared" ref="D138:D142" si="73">C138/0.00006</f>
        <v>0.8531134920491783</v>
      </c>
      <c r="E138">
        <v>2</v>
      </c>
      <c r="F138">
        <v>19.067144422009569</v>
      </c>
      <c r="H138">
        <v>1800</v>
      </c>
      <c r="N138" t="str">
        <f t="shared" si="70"/>
        <v/>
      </c>
      <c r="O138">
        <f t="shared" si="72"/>
        <v>19.067144422009569</v>
      </c>
      <c r="U138">
        <v>150</v>
      </c>
      <c r="V138">
        <v>3225</v>
      </c>
    </row>
    <row r="139">
      <c r="A139" s="3" t="s">
        <v>746</v>
      </c>
      <c r="B139">
        <v>142</v>
      </c>
      <c r="C139" s="4">
        <v>4.44881889763779e-05</v>
      </c>
      <c r="D139" s="4">
        <f t="shared" si="73"/>
        <v>0.74146981627296493</v>
      </c>
      <c r="E139">
        <v>2</v>
      </c>
      <c r="F139">
        <v>19.711779735885166</v>
      </c>
      <c r="H139">
        <v>1800</v>
      </c>
      <c r="N139" t="str">
        <f t="shared" si="70"/>
        <v/>
      </c>
      <c r="O139">
        <f t="shared" si="72"/>
        <v>19.711779735885166</v>
      </c>
      <c r="U139">
        <v>150</v>
      </c>
      <c r="V139">
        <v>3225</v>
      </c>
    </row>
    <row r="140">
      <c r="A140" s="3" t="s">
        <v>747</v>
      </c>
      <c r="B140">
        <v>143</v>
      </c>
      <c r="C140" s="4">
        <v>3.02919434042068e-05</v>
      </c>
      <c r="D140" s="4">
        <f t="shared" si="73"/>
        <v>0.50486572340344671</v>
      </c>
      <c r="E140">
        <v>2</v>
      </c>
      <c r="F140">
        <v>18.906560004921396</v>
      </c>
      <c r="H140">
        <v>1800</v>
      </c>
      <c r="N140" t="str">
        <f t="shared" si="70"/>
        <v/>
      </c>
      <c r="O140">
        <f t="shared" si="72"/>
        <v>18.906560004921396</v>
      </c>
      <c r="U140">
        <v>150</v>
      </c>
      <c r="V140">
        <v>3225</v>
      </c>
    </row>
    <row r="141">
      <c r="A141" s="3" t="s">
        <v>748</v>
      </c>
      <c r="B141">
        <v>144</v>
      </c>
      <c r="C141" s="4">
        <v>2.6539600223673099e-05</v>
      </c>
      <c r="D141" s="4">
        <f t="shared" si="73"/>
        <v>0.44232667039455165</v>
      </c>
      <c r="E141">
        <v>2</v>
      </c>
      <c r="F141">
        <v>18.094665318796991</v>
      </c>
      <c r="H141">
        <v>1800</v>
      </c>
      <c r="N141" t="str">
        <f t="shared" si="70"/>
        <v/>
      </c>
      <c r="O141">
        <f t="shared" si="72"/>
        <v>18.094665318796991</v>
      </c>
      <c r="U141">
        <v>150</v>
      </c>
      <c r="V141">
        <v>3225</v>
      </c>
    </row>
    <row r="142">
      <c r="A142" s="3" t="s">
        <v>749</v>
      </c>
      <c r="B142">
        <v>145</v>
      </c>
      <c r="C142" s="4">
        <v>4.1396002236730996e-06</v>
      </c>
      <c r="D142" s="4">
        <f t="shared" si="73"/>
        <v>0.068993337061218324</v>
      </c>
      <c r="E142">
        <v>2</v>
      </c>
      <c r="F142">
        <v>16.74771558783322</v>
      </c>
      <c r="H142">
        <v>1800</v>
      </c>
      <c r="N142" t="str">
        <f t="shared" si="70"/>
        <v/>
      </c>
      <c r="O142">
        <f t="shared" si="72"/>
        <v>16.74771558783322</v>
      </c>
      <c r="U142">
        <v>150</v>
      </c>
      <c r="V142">
        <v>3225</v>
      </c>
    </row>
    <row r="143">
      <c r="A143" s="3" t="s">
        <v>750</v>
      </c>
      <c r="B143">
        <v>146</v>
      </c>
      <c r="C143" s="4">
        <v>0</v>
      </c>
      <c r="D143" s="4"/>
      <c r="E143">
        <v>1</v>
      </c>
      <c r="F143">
        <v>9.4990319017088183</v>
      </c>
      <c r="H143">
        <v>1800</v>
      </c>
      <c r="N143">
        <f t="shared" si="70"/>
        <v>9.4990319017088183</v>
      </c>
      <c r="O143" t="str">
        <f t="shared" si="72"/>
        <v/>
      </c>
      <c r="U143">
        <v>150</v>
      </c>
      <c r="V143">
        <v>3225</v>
      </c>
    </row>
    <row r="144">
      <c r="A144" s="3" t="s">
        <v>751</v>
      </c>
      <c r="B144">
        <v>147</v>
      </c>
      <c r="C144" s="4">
        <v>0</v>
      </c>
      <c r="D144" s="4"/>
      <c r="E144">
        <v>1</v>
      </c>
      <c r="F144">
        <v>1.5932641707450448</v>
      </c>
      <c r="H144">
        <v>1800</v>
      </c>
      <c r="N144">
        <f t="shared" si="70"/>
        <v>1.5932641707450448</v>
      </c>
      <c r="O144" t="str">
        <f t="shared" si="72"/>
        <v/>
      </c>
      <c r="U144">
        <v>150</v>
      </c>
      <c r="V144">
        <v>3225</v>
      </c>
    </row>
  </sheetData>
  <hyperlinks>
    <hyperlink r:id="rId1" ref="A2"/>
    <hyperlink r:id="rId2" ref="A3"/>
    <hyperlink r:id="rId2" ref="A4:A144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I4" zoomScale="100" workbookViewId="0">
      <selection activeCell="AJ63" activeCellId="0" sqref="AJ9:AJ63"/>
    </sheetView>
  </sheetViews>
  <sheetFormatPr baseColWidth="10" defaultColWidth="9.28515625" defaultRowHeight="12.75"/>
  <cols>
    <col customWidth="1" min="1" max="1" style="8" width="8.85546875"/>
    <col customWidth="1" min="2" max="2" style="7" width="10.7109375"/>
    <col customWidth="1" min="3" max="3" style="7" width="6.5703125"/>
    <col customWidth="1" min="4" max="4" style="7" width="6.85546875"/>
    <col customWidth="1" min="5" max="5" style="9" width="6"/>
    <col customWidth="1" min="6" max="6" style="10" width="13.28515625"/>
    <col customWidth="1" min="7" max="7" style="10" width="15.28515625"/>
    <col customWidth="1" min="8" max="8" style="11" width="9.7109375"/>
    <col customWidth="1" min="9" max="9" style="11" width="9"/>
    <col customWidth="1" min="10" max="19" style="7" width="5.28515625"/>
    <col customWidth="1" min="20" max="20" style="12" width="7.85546875"/>
    <col customWidth="1" hidden="1" min="21" max="21" style="13" width="8.42578125"/>
    <col customWidth="1" hidden="1" min="22" max="23" style="11" width="8.42578125"/>
    <col customWidth="1" hidden="1" min="24" max="24" style="13" width="8.42578125"/>
    <col customWidth="1" hidden="1" min="25" max="26" style="14" width="8.42578125"/>
    <col customWidth="1" min="27" max="27" style="7" width="6.85546875"/>
    <col customWidth="1" min="28" max="28" style="7" width="6"/>
    <col customWidth="1" hidden="1" min="29" max="29" style="14" width="8.42578125"/>
    <col customWidth="1" hidden="1" min="30" max="30" style="15" width="8.42578125"/>
    <col customWidth="1" hidden="1" min="31" max="33" style="14" width="8.42578125"/>
    <col customWidth="1" hidden="1" min="34" max="34" style="16" width="0.140625"/>
    <col customWidth="1" min="35" max="35" style="13" width="6.140625"/>
    <col customWidth="1" min="36" max="36" style="7" width="6.85546875"/>
    <col customWidth="1" min="37" max="37" style="7" width="6.7109375"/>
    <col customWidth="1" min="38" max="38" style="12" width="6.85546875"/>
    <col customWidth="1" hidden="1" min="39" max="39" style="12" width="0.140625"/>
    <col customWidth="1" hidden="1" min="40" max="40" style="17" width="7.7109375"/>
    <col customWidth="1" hidden="1" min="41" max="41" style="17" width="8.42578125"/>
    <col customWidth="1" min="42" max="42" style="15" width="8.28515625"/>
    <col customWidth="1" min="43" max="43" style="17" width="8.28515625"/>
    <col customWidth="1" min="44" max="44" style="15" width="8.28515625"/>
    <col customWidth="1" min="45" max="45" style="17" width="8.28515625"/>
    <col customWidth="1" min="46" max="46" style="14" width="8.28515625"/>
    <col min="47" max="16384" style="7" width="9.28515625"/>
  </cols>
  <sheetData>
    <row r="1" ht="15" hidden="1" customHeight="1">
      <c r="A1" s="8" t="s">
        <v>752</v>
      </c>
      <c r="B1" s="7" t="s">
        <v>753</v>
      </c>
      <c r="C1" s="7" t="s">
        <v>754</v>
      </c>
      <c r="D1" s="7" t="s">
        <v>755</v>
      </c>
      <c r="E1" s="9" t="s">
        <v>756</v>
      </c>
      <c r="F1" s="10" t="s">
        <v>757</v>
      </c>
      <c r="G1" s="10" t="s">
        <v>758</v>
      </c>
      <c r="H1" s="11" t="s">
        <v>759</v>
      </c>
      <c r="I1" s="11" t="s">
        <v>760</v>
      </c>
      <c r="J1" s="7" t="s">
        <v>761</v>
      </c>
      <c r="K1" s="7" t="s">
        <v>762</v>
      </c>
      <c r="L1" s="7" t="s">
        <v>763</v>
      </c>
      <c r="M1" s="7" t="s">
        <v>764</v>
      </c>
      <c r="N1" s="7" t="s">
        <v>765</v>
      </c>
      <c r="O1" s="7" t="s">
        <v>766</v>
      </c>
      <c r="P1" s="7" t="s">
        <v>767</v>
      </c>
      <c r="Q1" s="7" t="s">
        <v>768</v>
      </c>
      <c r="R1" s="7" t="s">
        <v>769</v>
      </c>
      <c r="S1" s="7" t="s">
        <v>770</v>
      </c>
      <c r="T1" s="12" t="s">
        <v>771</v>
      </c>
      <c r="U1" s="13" t="s">
        <v>772</v>
      </c>
      <c r="V1" s="11" t="s">
        <v>773</v>
      </c>
      <c r="W1" s="11" t="s">
        <v>774</v>
      </c>
      <c r="X1" s="13" t="s">
        <v>775</v>
      </c>
      <c r="Y1" s="14" t="s">
        <v>776</v>
      </c>
      <c r="Z1" s="14" t="s">
        <v>777</v>
      </c>
      <c r="AA1" s="7" t="s">
        <v>778</v>
      </c>
      <c r="AB1" s="7" t="s">
        <v>779</v>
      </c>
      <c r="AC1" s="14" t="s">
        <v>780</v>
      </c>
      <c r="AD1" s="15" t="s">
        <v>781</v>
      </c>
      <c r="AE1" s="14" t="s">
        <v>782</v>
      </c>
      <c r="AF1" s="14" t="s">
        <v>783</v>
      </c>
      <c r="AG1" s="14" t="s">
        <v>784</v>
      </c>
      <c r="AH1" s="16" t="s">
        <v>785</v>
      </c>
      <c r="AI1" s="13" t="s">
        <v>786</v>
      </c>
      <c r="AJ1" s="7" t="s">
        <v>95</v>
      </c>
      <c r="AK1" s="7" t="s">
        <v>787</v>
      </c>
      <c r="AL1" s="12" t="s">
        <v>788</v>
      </c>
      <c r="AM1" s="12" t="s">
        <v>789</v>
      </c>
      <c r="AN1" s="17" t="s">
        <v>790</v>
      </c>
      <c r="AO1" s="17" t="s">
        <v>791</v>
      </c>
      <c r="AP1" s="15" t="s">
        <v>792</v>
      </c>
      <c r="AQ1" s="17" t="s">
        <v>793</v>
      </c>
      <c r="AR1" s="15" t="s">
        <v>794</v>
      </c>
      <c r="AS1" s="17" t="s">
        <v>795</v>
      </c>
      <c r="AT1" s="14" t="s">
        <v>796</v>
      </c>
    </row>
    <row r="2" s="18" customFormat="1" ht="14.1" hidden="1" customHeight="1">
      <c r="A2" s="8" t="s">
        <v>797</v>
      </c>
      <c r="E2" s="19"/>
      <c r="F2" s="20"/>
      <c r="G2" s="20"/>
      <c r="H2" s="11"/>
      <c r="I2" s="11"/>
      <c r="J2" s="7" t="b">
        <v>1</v>
      </c>
      <c r="K2" s="7" t="b">
        <v>1</v>
      </c>
      <c r="L2" s="7" t="b">
        <v>1</v>
      </c>
      <c r="M2" s="7" t="b">
        <v>1</v>
      </c>
      <c r="N2" s="7" t="b">
        <v>1</v>
      </c>
      <c r="O2" s="7" t="b">
        <v>1</v>
      </c>
      <c r="P2" s="7" t="b">
        <v>1</v>
      </c>
      <c r="Q2" s="7" t="b">
        <v>1</v>
      </c>
      <c r="R2" s="7" t="b">
        <v>1</v>
      </c>
      <c r="S2" s="7" t="b">
        <v>1</v>
      </c>
      <c r="T2" s="12"/>
      <c r="U2" s="13"/>
      <c r="V2" s="11"/>
      <c r="W2" s="11"/>
      <c r="X2" s="13"/>
      <c r="Y2" s="14"/>
      <c r="Z2" s="14"/>
      <c r="AA2" s="7" t="b">
        <v>1</v>
      </c>
      <c r="AB2" s="7" t="b">
        <v>1</v>
      </c>
      <c r="AC2" s="14"/>
      <c r="AD2" s="15"/>
      <c r="AE2" s="14"/>
      <c r="AF2" s="14"/>
      <c r="AG2" s="14"/>
      <c r="AH2" s="16"/>
      <c r="AI2" s="13"/>
      <c r="AJ2" s="7" t="b">
        <v>1</v>
      </c>
      <c r="AK2" s="7" t="b">
        <v>1</v>
      </c>
      <c r="AL2" s="12"/>
      <c r="AM2" s="12"/>
      <c r="AN2" s="17" t="b">
        <v>0</v>
      </c>
      <c r="AO2" s="17" t="b">
        <v>0</v>
      </c>
      <c r="AP2" s="21"/>
      <c r="AQ2" s="22"/>
      <c r="AR2" s="21"/>
      <c r="AS2" s="22"/>
      <c r="AT2" s="23"/>
    </row>
    <row r="3" s="24" customFormat="1" ht="12" hidden="1" customHeight="1">
      <c r="A3" s="25"/>
      <c r="E3" s="26">
        <v>1</v>
      </c>
      <c r="F3" s="27">
        <v>1</v>
      </c>
      <c r="G3" s="27"/>
      <c r="H3" s="28">
        <v>1000</v>
      </c>
      <c r="I3" s="28">
        <v>1000</v>
      </c>
      <c r="J3" s="29">
        <v>100</v>
      </c>
      <c r="K3" s="29">
        <v>100</v>
      </c>
      <c r="L3" s="29">
        <v>100</v>
      </c>
      <c r="M3" s="29">
        <v>100</v>
      </c>
      <c r="N3" s="29">
        <v>100</v>
      </c>
      <c r="O3" s="29">
        <v>100</v>
      </c>
      <c r="P3" s="29">
        <v>100</v>
      </c>
      <c r="Q3" s="29">
        <v>100</v>
      </c>
      <c r="R3" s="29">
        <v>100</v>
      </c>
      <c r="S3" s="29">
        <v>100</v>
      </c>
      <c r="T3" s="30">
        <v>100000000000000</v>
      </c>
      <c r="U3" s="31"/>
      <c r="V3" s="28">
        <v>100000</v>
      </c>
      <c r="W3" s="28">
        <v>100000</v>
      </c>
      <c r="X3" s="31">
        <v>1</v>
      </c>
      <c r="Y3" s="32">
        <v>1</v>
      </c>
      <c r="Z3" s="32">
        <v>1</v>
      </c>
      <c r="AA3" s="33">
        <v>1</v>
      </c>
      <c r="AB3" s="33">
        <v>1</v>
      </c>
      <c r="AC3" s="32">
        <v>1</v>
      </c>
      <c r="AD3" s="34">
        <v>1</v>
      </c>
      <c r="AE3" s="32">
        <v>1</v>
      </c>
      <c r="AF3" s="32">
        <v>1</v>
      </c>
      <c r="AG3" s="32">
        <v>1</v>
      </c>
      <c r="AH3" s="35">
        <v>1</v>
      </c>
      <c r="AI3" s="31">
        <v>1</v>
      </c>
      <c r="AJ3" s="33">
        <v>1</v>
      </c>
      <c r="AK3" s="33">
        <v>1</v>
      </c>
      <c r="AL3" s="30">
        <v>1</v>
      </c>
      <c r="AM3" s="30">
        <v>1</v>
      </c>
      <c r="AN3" s="36">
        <v>1</v>
      </c>
      <c r="AO3" s="36"/>
      <c r="AP3" s="34">
        <v>1</v>
      </c>
      <c r="AQ3" s="36">
        <v>1</v>
      </c>
      <c r="AR3" s="34">
        <v>1</v>
      </c>
      <c r="AS3" s="36">
        <v>1</v>
      </c>
      <c r="AT3" s="32">
        <v>1</v>
      </c>
    </row>
    <row r="4" s="37" customFormat="1" ht="15.949999999999999" customHeight="1">
      <c r="A4" s="38"/>
      <c r="B4" s="39"/>
      <c r="C4" s="39"/>
      <c r="D4" s="39"/>
      <c r="E4" s="39"/>
      <c r="F4" s="39"/>
      <c r="G4" s="39"/>
      <c r="H4" s="39"/>
      <c r="I4" s="40"/>
      <c r="J4" s="41" t="s">
        <v>798</v>
      </c>
      <c r="K4" s="42"/>
      <c r="L4" s="42"/>
      <c r="M4" s="42"/>
      <c r="N4" s="42"/>
      <c r="O4" s="42"/>
      <c r="P4" s="42"/>
      <c r="Q4" s="42"/>
      <c r="R4" s="42"/>
      <c r="S4" s="43"/>
      <c r="T4" s="41" t="s">
        <v>799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3"/>
      <c r="AP4" s="44" t="s">
        <v>800</v>
      </c>
      <c r="AQ4" s="45"/>
      <c r="AR4" s="45"/>
      <c r="AS4" s="45"/>
      <c r="AT4" s="46"/>
    </row>
    <row r="5" s="47" customFormat="1" ht="15.949999999999999" customHeight="1">
      <c r="A5" s="48" t="s">
        <v>801</v>
      </c>
      <c r="B5" s="47" t="s">
        <v>753</v>
      </c>
      <c r="C5" s="47" t="s">
        <v>754</v>
      </c>
      <c r="D5" s="47" t="s">
        <v>755</v>
      </c>
      <c r="E5" s="49" t="s">
        <v>802</v>
      </c>
      <c r="F5" s="50" t="s">
        <v>803</v>
      </c>
      <c r="G5" s="50" t="s">
        <v>804</v>
      </c>
      <c r="H5" s="51" t="s">
        <v>759</v>
      </c>
      <c r="I5" s="52"/>
      <c r="J5" s="53" t="s">
        <v>805</v>
      </c>
      <c r="K5" s="54"/>
      <c r="L5" s="54" t="s">
        <v>806</v>
      </c>
      <c r="M5" s="54"/>
      <c r="N5" s="54" t="s">
        <v>807</v>
      </c>
      <c r="O5" s="54"/>
      <c r="P5" s="54" t="s">
        <v>808</v>
      </c>
      <c r="Q5" s="54"/>
      <c r="R5" s="54" t="s">
        <v>809</v>
      </c>
      <c r="S5" s="55"/>
      <c r="T5" s="56" t="s">
        <v>810</v>
      </c>
      <c r="U5" s="57" t="s">
        <v>806</v>
      </c>
      <c r="V5" s="58" t="s">
        <v>811</v>
      </c>
      <c r="W5" s="59" t="s">
        <v>812</v>
      </c>
      <c r="X5" s="60" t="s">
        <v>813</v>
      </c>
      <c r="Y5" s="61" t="s">
        <v>814</v>
      </c>
      <c r="Z5" s="62" t="s">
        <v>812</v>
      </c>
      <c r="AA5" s="63" t="s">
        <v>815</v>
      </c>
      <c r="AB5" s="63"/>
      <c r="AC5" s="61" t="s">
        <v>816</v>
      </c>
      <c r="AD5" s="64" t="s">
        <v>812</v>
      </c>
      <c r="AE5" s="61" t="s">
        <v>817</v>
      </c>
      <c r="AF5" s="62" t="s">
        <v>812</v>
      </c>
      <c r="AG5" s="65" t="s">
        <v>818</v>
      </c>
      <c r="AH5" s="65"/>
      <c r="AI5" s="60" t="s">
        <v>819</v>
      </c>
      <c r="AJ5" s="63" t="s">
        <v>0</v>
      </c>
      <c r="AK5" s="63"/>
      <c r="AL5" s="66" t="s">
        <v>820</v>
      </c>
      <c r="AM5" s="66"/>
      <c r="AN5" s="47" t="s">
        <v>790</v>
      </c>
      <c r="AO5" s="47" t="s">
        <v>821</v>
      </c>
      <c r="AP5" s="67" t="s">
        <v>822</v>
      </c>
      <c r="AQ5" s="68"/>
      <c r="AR5" s="69" t="s">
        <v>823</v>
      </c>
      <c r="AS5" s="69"/>
      <c r="AT5" s="70" t="s">
        <v>811</v>
      </c>
    </row>
    <row r="6" s="71" customFormat="1" ht="15.949999999999999" customHeight="1">
      <c r="A6" s="72"/>
      <c r="B6" s="73"/>
      <c r="C6" s="73"/>
      <c r="D6" s="73"/>
      <c r="E6" s="74"/>
      <c r="F6" s="75"/>
      <c r="G6" s="75"/>
      <c r="H6" s="76" t="s">
        <v>824</v>
      </c>
      <c r="I6" s="77"/>
      <c r="J6" s="78" t="s">
        <v>825</v>
      </c>
      <c r="K6" s="79"/>
      <c r="L6" s="79" t="s">
        <v>825</v>
      </c>
      <c r="M6" s="79"/>
      <c r="N6" s="79" t="s">
        <v>825</v>
      </c>
      <c r="O6" s="79"/>
      <c r="P6" s="79" t="s">
        <v>825</v>
      </c>
      <c r="Q6" s="79"/>
      <c r="R6" s="79" t="s">
        <v>825</v>
      </c>
      <c r="S6" s="80"/>
      <c r="T6" s="81" t="s">
        <v>826</v>
      </c>
      <c r="U6" s="82" t="s">
        <v>827</v>
      </c>
      <c r="V6" s="83" t="s">
        <v>828</v>
      </c>
      <c r="W6" s="76"/>
      <c r="X6" s="82"/>
      <c r="Y6" s="84"/>
      <c r="Z6" s="84"/>
      <c r="AA6" s="79" t="s">
        <v>825</v>
      </c>
      <c r="AB6" s="79"/>
      <c r="AC6" s="84"/>
      <c r="AD6" s="85"/>
      <c r="AE6" s="84"/>
      <c r="AF6" s="84"/>
      <c r="AG6" s="86" t="s">
        <v>825</v>
      </c>
      <c r="AH6" s="86"/>
      <c r="AI6" s="82"/>
      <c r="AJ6" s="79" t="s">
        <v>825</v>
      </c>
      <c r="AK6" s="79"/>
      <c r="AL6" s="79" t="s">
        <v>825</v>
      </c>
      <c r="AM6" s="79" t="s">
        <v>825</v>
      </c>
      <c r="AN6" s="73"/>
      <c r="AO6" s="73"/>
      <c r="AP6" s="87" t="s">
        <v>829</v>
      </c>
      <c r="AQ6" s="88"/>
      <c r="AR6" s="73" t="s">
        <v>829</v>
      </c>
      <c r="AS6" s="73"/>
      <c r="AT6" s="89" t="s">
        <v>830</v>
      </c>
    </row>
    <row r="7" s="90" customFormat="1" ht="15.75">
      <c r="A7" s="91"/>
      <c r="E7" s="92"/>
      <c r="F7" s="93"/>
      <c r="G7" s="93"/>
      <c r="H7" s="94"/>
      <c r="I7" s="94"/>
      <c r="J7" s="29"/>
      <c r="T7" s="95"/>
      <c r="U7" s="96"/>
      <c r="V7" s="94"/>
      <c r="W7" s="94"/>
      <c r="X7" s="96"/>
      <c r="Y7" s="97"/>
      <c r="Z7" s="97"/>
      <c r="AC7" s="97"/>
      <c r="AD7" s="98"/>
      <c r="AE7" s="97"/>
      <c r="AF7" s="97"/>
      <c r="AG7" s="97"/>
      <c r="AH7" s="99"/>
      <c r="AI7" s="96"/>
      <c r="AL7" s="95"/>
      <c r="AM7" s="95"/>
      <c r="AN7" s="100"/>
      <c r="AO7" s="100"/>
      <c r="AP7" s="98"/>
      <c r="AQ7" s="100"/>
      <c r="AR7" s="98"/>
      <c r="AS7" s="100"/>
      <c r="AT7" s="97"/>
    </row>
    <row r="8" ht="13.5">
      <c r="A8" s="101" t="s">
        <v>831</v>
      </c>
    </row>
    <row r="9" s="102" customFormat="1" ht="12">
      <c r="A9" s="103" t="s">
        <v>832</v>
      </c>
      <c r="B9" s="102" t="s">
        <v>831</v>
      </c>
      <c r="C9" s="102" t="s">
        <v>833</v>
      </c>
      <c r="E9" s="104">
        <v>0</v>
      </c>
      <c r="F9" s="105">
        <v>0</v>
      </c>
      <c r="G9" s="105" t="s">
        <v>834</v>
      </c>
      <c r="H9" s="106">
        <f t="shared" ref="H9:H19" si="74">0.001014*H$3</f>
        <v>1.014</v>
      </c>
      <c r="I9" s="106">
        <f t="shared" ref="I9:I19" si="75">0.000004056*I$3</f>
        <v>0.0040559999999999997</v>
      </c>
      <c r="J9" s="104">
        <v>18.100000000000001</v>
      </c>
      <c r="K9" s="104">
        <v>0.20000000000000001</v>
      </c>
      <c r="L9" s="107">
        <v>0.057000000000000002</v>
      </c>
      <c r="M9" s="107">
        <v>0.002</v>
      </c>
      <c r="N9" s="107">
        <v>0.0060000000000000001</v>
      </c>
      <c r="O9" s="107">
        <v>0.0030000000000000001</v>
      </c>
      <c r="P9" s="102">
        <v>0</v>
      </c>
      <c r="Q9" s="102">
        <v>0.14000000000000001</v>
      </c>
      <c r="R9" s="107">
        <v>0.018000000000000002</v>
      </c>
      <c r="S9" s="107">
        <v>0.002</v>
      </c>
      <c r="T9" s="108">
        <f>6.631642E-18*T$3</f>
        <v>0.00066316420000000001</v>
      </c>
      <c r="U9" s="109">
        <f>100*Ar39_/SUM(SampleData_K308_2 Ar39_)</f>
        <v>1.2317399948137262</v>
      </c>
      <c r="V9" s="106">
        <f>0.3085119*V$3</f>
        <v>30851.190000000002</v>
      </c>
      <c r="W9" s="106">
        <f>0.0378363*W$3</f>
        <v>3783.6300000000001</v>
      </c>
      <c r="X9" s="109">
        <v>0</v>
      </c>
      <c r="Y9" s="110">
        <v>0</v>
      </c>
      <c r="Z9" s="110">
        <f>2.592282*Z$3</f>
        <v>2.592282</v>
      </c>
      <c r="AA9" s="111">
        <v>0</v>
      </c>
      <c r="AB9" s="111">
        <v>4</v>
      </c>
      <c r="AC9" s="110">
        <f>0.1150118*AC$3</f>
        <v>0.1150118</v>
      </c>
      <c r="AD9" s="112">
        <f>0.0530066*AD$3</f>
        <v>0.053006600000000001</v>
      </c>
      <c r="AE9" s="110">
        <f>316.6459*AE$3</f>
        <v>316.64589999999998</v>
      </c>
      <c r="AF9" s="110">
        <f>13.14467*AF$3</f>
        <v>13.14467</v>
      </c>
      <c r="AG9" s="110">
        <f>223.941*AG$3</f>
        <v>223.941</v>
      </c>
      <c r="AH9" s="113">
        <f>14.46128*AH$3</f>
        <v>14.46128</v>
      </c>
      <c r="AI9" s="109">
        <f>71.03814*AI$3</f>
        <v>71.038139999999999</v>
      </c>
      <c r="AJ9" s="114">
        <v>370</v>
      </c>
      <c r="AK9" s="114">
        <v>20</v>
      </c>
      <c r="AL9" s="108">
        <f>21.60031*AL$3</f>
        <v>21.60031</v>
      </c>
      <c r="AM9" s="108">
        <v>0</v>
      </c>
      <c r="AN9" s="102"/>
      <c r="AO9" s="102"/>
      <c r="AP9" s="112">
        <f>0.0009801*AP$3</f>
        <v>0.00098010000000000002</v>
      </c>
      <c r="AQ9" s="102">
        <f>11.67605*AQ$3</f>
        <v>11.67605</v>
      </c>
      <c r="AR9" s="112">
        <f>0.0031722*AR$3</f>
        <v>0.0031722</v>
      </c>
      <c r="AS9" s="102">
        <f>4.13889*AS$3</f>
        <v>4.13889</v>
      </c>
      <c r="AT9" s="110">
        <f>0.0501334*AT$3</f>
        <v>0.050133400000000002</v>
      </c>
    </row>
    <row r="10" s="102" customFormat="1" ht="12">
      <c r="A10" s="103"/>
      <c r="E10" s="104"/>
      <c r="F10" s="105"/>
      <c r="G10" s="105"/>
      <c r="H10" s="106"/>
      <c r="I10" s="106"/>
      <c r="J10" s="104"/>
      <c r="K10" s="104"/>
      <c r="L10" s="115"/>
      <c r="M10" s="115"/>
      <c r="N10" s="107"/>
      <c r="O10" s="107"/>
      <c r="P10" s="102"/>
      <c r="Q10" s="102"/>
      <c r="R10" s="115"/>
      <c r="S10" s="115"/>
      <c r="T10" s="108"/>
      <c r="U10" s="109"/>
      <c r="V10" s="106"/>
      <c r="W10" s="106"/>
      <c r="X10" s="109"/>
      <c r="Y10" s="110"/>
      <c r="Z10" s="110"/>
      <c r="AA10" s="116"/>
      <c r="AB10" s="116"/>
      <c r="AC10" s="110"/>
      <c r="AD10" s="112"/>
      <c r="AE10" s="110"/>
      <c r="AF10" s="110"/>
      <c r="AG10" s="110"/>
      <c r="AH10" s="113"/>
      <c r="AI10" s="109"/>
      <c r="AJ10" s="116"/>
      <c r="AK10" s="116"/>
      <c r="AL10" s="108"/>
      <c r="AM10" s="108"/>
      <c r="AN10" s="102"/>
      <c r="AO10" s="102"/>
      <c r="AP10" s="112"/>
      <c r="AQ10" s="102"/>
      <c r="AR10" s="112"/>
      <c r="AS10" s="102"/>
      <c r="AT10" s="110"/>
    </row>
    <row r="11" s="102" customFormat="1" ht="12">
      <c r="A11" s="103"/>
      <c r="E11" s="104"/>
      <c r="F11" s="105"/>
      <c r="G11" s="105"/>
      <c r="H11" s="106"/>
      <c r="I11" s="106"/>
      <c r="J11" s="104"/>
      <c r="K11" s="104"/>
      <c r="L11" s="115"/>
      <c r="M11" s="115"/>
      <c r="N11" s="107"/>
      <c r="O11" s="107"/>
      <c r="P11" s="102"/>
      <c r="Q11" s="102"/>
      <c r="R11" s="107"/>
      <c r="S11" s="107"/>
      <c r="T11" s="108"/>
      <c r="U11" s="109"/>
      <c r="V11" s="106"/>
      <c r="W11" s="106"/>
      <c r="X11" s="109"/>
      <c r="Y11" s="110"/>
      <c r="Z11" s="110"/>
      <c r="AA11" s="114"/>
      <c r="AB11" s="114"/>
      <c r="AC11" s="110"/>
      <c r="AD11" s="112"/>
      <c r="AE11" s="110"/>
      <c r="AF11" s="110"/>
      <c r="AG11" s="110"/>
      <c r="AH11" s="113"/>
      <c r="AI11" s="109"/>
      <c r="AJ11" s="116"/>
      <c r="AK11" s="116"/>
      <c r="AL11" s="108"/>
      <c r="AM11" s="108"/>
      <c r="AN11" s="102"/>
      <c r="AO11" s="102"/>
      <c r="AP11" s="112"/>
      <c r="AQ11" s="102"/>
      <c r="AR11" s="112"/>
      <c r="AS11" s="102"/>
      <c r="AT11" s="110"/>
    </row>
    <row r="12" s="102" customFormat="1" ht="12">
      <c r="A12" s="103"/>
      <c r="E12" s="104"/>
      <c r="F12" s="105"/>
      <c r="G12" s="105"/>
      <c r="H12" s="106"/>
      <c r="I12" s="106"/>
      <c r="J12" s="102"/>
      <c r="K12" s="102"/>
      <c r="L12" s="107"/>
      <c r="M12" s="107"/>
      <c r="N12" s="115"/>
      <c r="O12" s="115"/>
      <c r="P12" s="102"/>
      <c r="Q12" s="102"/>
      <c r="R12" s="115"/>
      <c r="S12" s="115"/>
      <c r="T12" s="108"/>
      <c r="U12" s="109"/>
      <c r="V12" s="106"/>
      <c r="W12" s="106"/>
      <c r="X12" s="109"/>
      <c r="Y12" s="110"/>
      <c r="Z12" s="110"/>
      <c r="AA12" s="117"/>
      <c r="AB12" s="117"/>
      <c r="AC12" s="110"/>
      <c r="AD12" s="112"/>
      <c r="AE12" s="110"/>
      <c r="AF12" s="110"/>
      <c r="AG12" s="110"/>
      <c r="AH12" s="113"/>
      <c r="AI12" s="109"/>
      <c r="AJ12" s="118"/>
      <c r="AK12" s="118"/>
      <c r="AL12" s="108"/>
      <c r="AM12" s="108"/>
      <c r="AN12" s="102"/>
      <c r="AO12" s="102"/>
      <c r="AP12" s="112"/>
      <c r="AQ12" s="102"/>
      <c r="AR12" s="112"/>
      <c r="AS12" s="102"/>
      <c r="AT12" s="110"/>
    </row>
    <row r="13" s="102" customFormat="1" ht="12">
      <c r="A13" s="103" t="s">
        <v>835</v>
      </c>
      <c r="B13" s="102" t="s">
        <v>831</v>
      </c>
      <c r="C13" s="102" t="s">
        <v>833</v>
      </c>
      <c r="E13" s="104">
        <v>0</v>
      </c>
      <c r="F13" s="105">
        <v>0</v>
      </c>
      <c r="G13" s="105" t="s">
        <v>834</v>
      </c>
      <c r="H13" s="106">
        <f t="shared" si="74"/>
        <v>1.014</v>
      </c>
      <c r="I13" s="106">
        <f t="shared" si="75"/>
        <v>0.0040559999999999997</v>
      </c>
      <c r="J13" s="104">
        <v>30</v>
      </c>
      <c r="K13" s="104">
        <v>0.20000000000000001</v>
      </c>
      <c r="L13" s="107">
        <v>0.14599999999999999</v>
      </c>
      <c r="M13" s="107">
        <v>0.0040000000000000001</v>
      </c>
      <c r="N13" s="107">
        <v>0.01</v>
      </c>
      <c r="O13" s="107">
        <v>0.002</v>
      </c>
      <c r="P13" s="102">
        <v>0.17000000000000001</v>
      </c>
      <c r="Q13" s="102">
        <v>0.17999999999999999</v>
      </c>
      <c r="R13" s="115">
        <v>0.0298</v>
      </c>
      <c r="S13" s="115">
        <v>0.002</v>
      </c>
      <c r="T13" s="108">
        <f>1.574584E-17*T$3</f>
        <v>0.001574584</v>
      </c>
      <c r="U13" s="109">
        <f t="shared" ref="U13:U63" si="76">100*Ar39_/SUM(SampleData_K308_2 Ar39_)</f>
        <v>3.1549831446105965</v>
      </c>
      <c r="V13" s="106">
        <f>0.204205*V$3</f>
        <v>20420.5</v>
      </c>
      <c r="W13" s="106">
        <f>0.0147268*W$3</f>
        <v>1472.6800000000001</v>
      </c>
      <c r="X13" s="109">
        <f>0.1578401*X$3</f>
        <v>0.15784010000000001</v>
      </c>
      <c r="Y13" s="110">
        <f>1.180649*Y$3</f>
        <v>1.1806490000000001</v>
      </c>
      <c r="Z13" s="110">
        <f>1.254872*Z$3</f>
        <v>1.254872</v>
      </c>
      <c r="AA13" s="111">
        <v>2</v>
      </c>
      <c r="AB13" s="111">
        <v>2</v>
      </c>
      <c r="AC13" s="110">
        <f>0.0696337*AC$3</f>
        <v>0.069633700000000007</v>
      </c>
      <c r="AD13" s="112">
        <f>0.0158324*AD$3</f>
        <v>0.0158324</v>
      </c>
      <c r="AE13" s="110">
        <f>205.4057*AE$3</f>
        <v>205.4057</v>
      </c>
      <c r="AF13" s="110">
        <f>5.908737*AF$3</f>
        <v>5.9087370000000004</v>
      </c>
      <c r="AG13" s="110">
        <f>145.2671*AG$3</f>
        <v>145.2671</v>
      </c>
      <c r="AH13" s="113">
        <f>5.917326*AH$3</f>
        <v>5.9173260000000001</v>
      </c>
      <c r="AI13" s="109">
        <f>70.66838*AI$3</f>
        <v>70.668379999999999</v>
      </c>
      <c r="AJ13" s="111">
        <v>248</v>
      </c>
      <c r="AK13" s="111">
        <v>9</v>
      </c>
      <c r="AL13" s="108">
        <f>9.480366*AL$3</f>
        <v>9.4803660000000001</v>
      </c>
      <c r="AM13" s="108">
        <v>0</v>
      </c>
      <c r="AN13" s="102"/>
      <c r="AO13" s="102"/>
      <c r="AP13" s="112">
        <f>0.0009926*AP$3</f>
        <v>0.00099259999999999995</v>
      </c>
      <c r="AQ13" s="102">
        <f>6.722759*AQ$3</f>
        <v>6.7227589999999999</v>
      </c>
      <c r="AR13" s="112">
        <f>0.0048647*AR$3</f>
        <v>0.0048646999999999996</v>
      </c>
      <c r="AS13" s="102">
        <f>2.87999*AS$3</f>
        <v>2.8799899999999998</v>
      </c>
      <c r="AT13" s="110">
        <f>0.0376641*AT$3</f>
        <v>0.037664099999999999</v>
      </c>
    </row>
    <row r="14" s="102" customFormat="1" ht="12">
      <c r="A14" s="103" t="s">
        <v>836</v>
      </c>
      <c r="B14" s="102" t="s">
        <v>831</v>
      </c>
      <c r="C14" s="102" t="s">
        <v>833</v>
      </c>
      <c r="E14" s="104">
        <v>0</v>
      </c>
      <c r="F14" s="105">
        <v>0</v>
      </c>
      <c r="G14" s="105" t="s">
        <v>834</v>
      </c>
      <c r="H14" s="106">
        <f t="shared" si="74"/>
        <v>1.014</v>
      </c>
      <c r="I14" s="106">
        <f t="shared" si="75"/>
        <v>0.0040559999999999997</v>
      </c>
      <c r="J14" s="104">
        <v>35.299999999999997</v>
      </c>
      <c r="K14" s="104">
        <v>0.20000000000000001</v>
      </c>
      <c r="L14" s="107">
        <v>0.12</v>
      </c>
      <c r="M14" s="107">
        <v>0.0040000000000000001</v>
      </c>
      <c r="N14" s="107">
        <v>0.014999999999999999</v>
      </c>
      <c r="O14" s="107">
        <v>0.002</v>
      </c>
      <c r="P14" s="102">
        <v>0</v>
      </c>
      <c r="Q14" s="102">
        <v>0.19</v>
      </c>
      <c r="R14" s="115">
        <v>0.043500000000000004</v>
      </c>
      <c r="S14" s="115">
        <v>0.0019</v>
      </c>
      <c r="T14" s="108">
        <f>1.291725E-17*T$3</f>
        <v>0.0012917249999999999</v>
      </c>
      <c r="U14" s="109">
        <f t="shared" si="76"/>
        <v>2.5931368311867917</v>
      </c>
      <c r="V14" s="106">
        <f>0.3610188*V$3</f>
        <v>36101.879999999997</v>
      </c>
      <c r="W14" s="106">
        <f>0.0198017*W$3</f>
        <v>1980.1699999999998</v>
      </c>
      <c r="X14" s="109">
        <v>0</v>
      </c>
      <c r="Y14" s="110">
        <v>0</v>
      </c>
      <c r="Z14" s="110">
        <f>1.635092*Z$3</f>
        <v>1.635092</v>
      </c>
      <c r="AA14" s="111">
        <v>0</v>
      </c>
      <c r="AB14" s="111">
        <v>3</v>
      </c>
      <c r="AC14" s="110">
        <f>0.1233567*AC$3</f>
        <v>0.1233567</v>
      </c>
      <c r="AD14" s="112">
        <f>0.0181555*AD$3</f>
        <v>0.018155500000000001</v>
      </c>
      <c r="AE14" s="110">
        <f>293.3941*AE$3</f>
        <v>293.39409999999998</v>
      </c>
      <c r="AF14" s="110">
        <f>9.854914*AF$3</f>
        <v>9.8549140000000008</v>
      </c>
      <c r="AG14" s="110">
        <f>186.6455*AG$3</f>
        <v>186.6455</v>
      </c>
      <c r="AH14" s="113">
        <f>8.021801*AH$3</f>
        <v>8.021801</v>
      </c>
      <c r="AI14" s="109">
        <f>63.62996*AI$3</f>
        <v>63.629959999999997</v>
      </c>
      <c r="AJ14" s="114">
        <v>313</v>
      </c>
      <c r="AK14" s="114">
        <v>12</v>
      </c>
      <c r="AL14" s="108">
        <f>12.39257*AL$3</f>
        <v>12.392569999999999</v>
      </c>
      <c r="AM14" s="108">
        <v>0</v>
      </c>
      <c r="AN14" s="102"/>
      <c r="AO14" s="102"/>
      <c r="AP14" s="112">
        <f>0.0012308*AP$3</f>
        <v>0.0012308</v>
      </c>
      <c r="AQ14" s="102">
        <f>4.472119*AQ$3</f>
        <v>4.4721190000000002</v>
      </c>
      <c r="AR14" s="112">
        <f>0.0034091*AR$3</f>
        <v>0.0034091</v>
      </c>
      <c r="AS14" s="102">
        <f>3.360097*AS$3</f>
        <v>3.3600970000000001</v>
      </c>
      <c r="AT14" s="110">
        <f>0.0454065*AT$3</f>
        <v>0.045406500000000002</v>
      </c>
    </row>
    <row r="15" s="102" customFormat="1" ht="12">
      <c r="A15" s="103" t="s">
        <v>837</v>
      </c>
      <c r="B15" s="102" t="s">
        <v>831</v>
      </c>
      <c r="C15" s="102" t="s">
        <v>833</v>
      </c>
      <c r="E15" s="104">
        <v>0</v>
      </c>
      <c r="F15" s="105">
        <v>0</v>
      </c>
      <c r="G15" s="105" t="s">
        <v>834</v>
      </c>
      <c r="H15" s="106">
        <f t="shared" si="74"/>
        <v>1.014</v>
      </c>
      <c r="I15" s="106">
        <f t="shared" si="75"/>
        <v>0.0040559999999999997</v>
      </c>
      <c r="J15" s="104">
        <v>2.3999999999999999</v>
      </c>
      <c r="K15" s="104">
        <v>0.20000000000000001</v>
      </c>
      <c r="L15" s="115">
        <v>0.012400000000000001</v>
      </c>
      <c r="M15" s="115">
        <v>0.0016000000000000001</v>
      </c>
      <c r="N15" s="115">
        <v>0.0012000000000000001</v>
      </c>
      <c r="O15" s="115">
        <v>0.0018000000000000002</v>
      </c>
      <c r="P15" s="102">
        <v>0.02</v>
      </c>
      <c r="Q15" s="102">
        <v>0.16</v>
      </c>
      <c r="R15" s="115">
        <v>0.0030000000000000001</v>
      </c>
      <c r="S15" s="115">
        <v>0.0018000000000000002</v>
      </c>
      <c r="T15" s="108">
        <f>1.383739E-18*T$3</f>
        <v>0.00013837389999999999</v>
      </c>
      <c r="U15" s="109">
        <f t="shared" si="76"/>
        <v>0.26795747255596852</v>
      </c>
      <c r="V15" s="106">
        <f>0.2415803*V$3</f>
        <v>24158.029999999999</v>
      </c>
      <c r="W15" s="106">
        <f>0.1526881*W$3</f>
        <v>15268.809999999999</v>
      </c>
      <c r="X15" s="109">
        <f>0.1969268*X$3</f>
        <v>0.19692680000000001</v>
      </c>
      <c r="Y15" s="110">
        <f>1.742624*Y$3</f>
        <v>1.742624</v>
      </c>
      <c r="Z15" s="110">
        <f>12.85118*Z$3</f>
        <v>12.851179999999999</v>
      </c>
      <c r="AA15" s="114">
        <v>0</v>
      </c>
      <c r="AB15" s="114">
        <v>20</v>
      </c>
      <c r="AC15" s="110">
        <f>0.0935135*AC$3</f>
        <v>0.093513499999999999</v>
      </c>
      <c r="AD15" s="112">
        <f>0.1492315*AD$3</f>
        <v>0.14923149999999999</v>
      </c>
      <c r="AE15" s="110">
        <f>190.0942*AE$3</f>
        <v>190.0942</v>
      </c>
      <c r="AF15" s="110">
        <f>32.41503*AF$3</f>
        <v>32.415030000000002</v>
      </c>
      <c r="AG15" s="110">
        <f>118.9803*AG$3</f>
        <v>118.9803</v>
      </c>
      <c r="AH15" s="113">
        <f>50.77334*AH$3</f>
        <v>50.773339999999997</v>
      </c>
      <c r="AI15" s="109">
        <f>62.51947*AI$3</f>
        <v>62.519469999999998</v>
      </c>
      <c r="AJ15" s="114">
        <v>200</v>
      </c>
      <c r="AK15" s="114">
        <v>80</v>
      </c>
      <c r="AL15" s="108">
        <f>82.88566*AL$3</f>
        <v>82.885660000000001</v>
      </c>
      <c r="AM15" s="108">
        <v>0</v>
      </c>
      <c r="AN15" s="102"/>
      <c r="AO15" s="102"/>
      <c r="AP15" s="112">
        <f>0.0012684*AP$3</f>
        <v>0.0012684</v>
      </c>
      <c r="AQ15" s="102">
        <f>62.60604*AQ$3</f>
        <v>62.60604</v>
      </c>
      <c r="AR15" s="112">
        <f>0.0052546*AR$3</f>
        <v>0.0052545999999999999</v>
      </c>
      <c r="AS15" s="102">
        <f>17.08692*AS$3</f>
        <v>17.086919999999999</v>
      </c>
      <c r="AT15" s="110">
        <f>0.0927932*AT$3</f>
        <v>0.092793200000000006</v>
      </c>
    </row>
    <row r="16" s="102" customFormat="1" ht="12">
      <c r="A16" s="103" t="s">
        <v>838</v>
      </c>
      <c r="B16" s="102" t="s">
        <v>831</v>
      </c>
      <c r="C16" s="102" t="s">
        <v>833</v>
      </c>
      <c r="E16" s="104">
        <v>0</v>
      </c>
      <c r="F16" s="105">
        <v>0</v>
      </c>
      <c r="G16" s="105" t="s">
        <v>834</v>
      </c>
      <c r="H16" s="106">
        <f t="shared" si="74"/>
        <v>1.014</v>
      </c>
      <c r="I16" s="106">
        <f t="shared" si="75"/>
        <v>0.0040559999999999997</v>
      </c>
      <c r="J16" s="104">
        <v>12.1</v>
      </c>
      <c r="K16" s="104">
        <v>0.20000000000000001</v>
      </c>
      <c r="L16" s="107">
        <v>0.049000000000000002</v>
      </c>
      <c r="M16" s="107">
        <v>0.0030000000000000001</v>
      </c>
      <c r="N16" s="115">
        <v>0.0055999999999999999</v>
      </c>
      <c r="O16" s="115">
        <v>0.0018000000000000002</v>
      </c>
      <c r="P16" s="102">
        <v>0.11</v>
      </c>
      <c r="Q16" s="102">
        <v>0.17999999999999999</v>
      </c>
      <c r="R16" s="115">
        <v>0.0022000000000000001</v>
      </c>
      <c r="S16" s="115">
        <v>0.0018000000000000002</v>
      </c>
      <c r="T16" s="108">
        <f>5.753152E-18*T$3</f>
        <v>0.00057531520000000003</v>
      </c>
      <c r="U16" s="109">
        <f t="shared" si="76"/>
        <v>1.0588642060679401</v>
      </c>
      <c r="V16" s="106">
        <f>0.0453236*V$3</f>
        <v>4532.3599999999997</v>
      </c>
      <c r="W16" s="106">
        <f>0.037733*W$3</f>
        <v>3773.3000000000002</v>
      </c>
      <c r="X16" s="109">
        <f>1.406428*X$3</f>
        <v>1.406428</v>
      </c>
      <c r="Y16" s="110">
        <f>2.334957*Y$3</f>
        <v>2.3349570000000002</v>
      </c>
      <c r="Z16" s="110">
        <f>3.705581*Z$3</f>
        <v>3.705581</v>
      </c>
      <c r="AA16" s="111">
        <v>4</v>
      </c>
      <c r="AB16" s="111">
        <v>6</v>
      </c>
      <c r="AC16" s="110">
        <f>0.1141391*AC$3</f>
        <v>0.11413909999999999</v>
      </c>
      <c r="AD16" s="112">
        <f>0.0381207*AD$3</f>
        <v>0.0381207</v>
      </c>
      <c r="AE16" s="110">
        <f>247.1914*AE$3</f>
        <v>247.19139999999999</v>
      </c>
      <c r="AF16" s="110">
        <f>14.92061*AF$3</f>
        <v>14.92061</v>
      </c>
      <c r="AG16" s="110">
        <f>234.3448*AG$3</f>
        <v>234.34479999999999</v>
      </c>
      <c r="AH16" s="113">
        <f>18.11832*AH$3</f>
        <v>18.118320000000001</v>
      </c>
      <c r="AI16" s="109">
        <f>94.65798*AI$3</f>
        <v>94.657979999999995</v>
      </c>
      <c r="AJ16" s="114">
        <v>380</v>
      </c>
      <c r="AK16" s="114">
        <v>30</v>
      </c>
      <c r="AL16" s="108">
        <f>26.8165*AL$3</f>
        <v>26.816500000000001</v>
      </c>
      <c r="AM16" s="108">
        <v>0</v>
      </c>
      <c r="AN16" s="102"/>
      <c r="AO16" s="102"/>
      <c r="AP16" s="112">
        <f>0.0001808*AP$3</f>
        <v>0.0001808</v>
      </c>
      <c r="AQ16" s="102">
        <f>84.30024*AQ$3</f>
        <v>84.300240000000002</v>
      </c>
      <c r="AR16" s="112">
        <f>0.0040393*AR$3</f>
        <v>0.0040393</v>
      </c>
      <c r="AS16" s="102">
        <f>6.049467*AS$3</f>
        <v>6.0494669999999999</v>
      </c>
      <c r="AT16" s="110">
        <f>0.0086321*AT$3</f>
        <v>0.0086321000000000002</v>
      </c>
    </row>
    <row r="17" s="102" customFormat="1" ht="12">
      <c r="A17" s="103" t="s">
        <v>839</v>
      </c>
      <c r="B17" s="102" t="s">
        <v>831</v>
      </c>
      <c r="C17" s="102" t="s">
        <v>833</v>
      </c>
      <c r="E17" s="104">
        <v>0</v>
      </c>
      <c r="F17" s="105">
        <v>0</v>
      </c>
      <c r="G17" s="105" t="s">
        <v>834</v>
      </c>
      <c r="H17" s="106">
        <f t="shared" si="74"/>
        <v>1.014</v>
      </c>
      <c r="I17" s="106">
        <f t="shared" si="75"/>
        <v>0.0040559999999999997</v>
      </c>
      <c r="J17" s="104">
        <v>18.199999999999999</v>
      </c>
      <c r="K17" s="104">
        <v>0.20000000000000001</v>
      </c>
      <c r="L17" s="107">
        <v>0.021999999999999999</v>
      </c>
      <c r="M17" s="107">
        <v>0.002</v>
      </c>
      <c r="N17" s="107">
        <v>0.012</v>
      </c>
      <c r="O17" s="107">
        <v>0.002</v>
      </c>
      <c r="P17" s="104">
        <v>0.40000000000000002</v>
      </c>
      <c r="Q17" s="104">
        <v>0.20000000000000001</v>
      </c>
      <c r="R17" s="115">
        <v>0.0504</v>
      </c>
      <c r="S17" s="115">
        <v>0.002</v>
      </c>
      <c r="T17" s="108">
        <f>2.371263E-18*T$3</f>
        <v>0.00023712629999999999</v>
      </c>
      <c r="U17" s="109">
        <f t="shared" si="76"/>
        <v>0.47540841905091175</v>
      </c>
      <c r="V17" s="106">
        <f>2.269581*V$3</f>
        <v>226958.10000000001</v>
      </c>
      <c r="W17" s="106">
        <f>0.2701471*W$3</f>
        <v>27014.709999999999</v>
      </c>
      <c r="X17" s="109">
        <f>0.2259079*X$3</f>
        <v>0.22590789999999999</v>
      </c>
      <c r="Y17" s="110">
        <f>18.78081*Y$3</f>
        <v>18.780809999999999</v>
      </c>
      <c r="Z17" s="110">
        <f>9.722748*Z$3</f>
        <v>9.7227479999999993</v>
      </c>
      <c r="AA17" s="114">
        <v>32</v>
      </c>
      <c r="AB17" s="114">
        <v>16</v>
      </c>
      <c r="AC17" s="110">
        <f>0.5463225*AC$3</f>
        <v>0.54632250000000004</v>
      </c>
      <c r="AD17" s="112">
        <f>0.1191965*AD$3</f>
        <v>0.1191965</v>
      </c>
      <c r="AE17" s="110">
        <f>820.1246*AE$3</f>
        <v>820.12459999999999</v>
      </c>
      <c r="AF17" s="110">
        <f>92.92371*AF$3</f>
        <v>92.92371</v>
      </c>
      <c r="AG17" s="110">
        <f>152.8794*AG$3</f>
        <v>152.8794</v>
      </c>
      <c r="AH17" s="113">
        <f>34.22983*AH$3</f>
        <v>34.22983</v>
      </c>
      <c r="AI17" s="109">
        <f>18.40872*AI$3</f>
        <v>18.408719999999999</v>
      </c>
      <c r="AJ17" s="114">
        <v>260</v>
      </c>
      <c r="AK17" s="114">
        <v>50</v>
      </c>
      <c r="AL17" s="108">
        <f>54.22227*AL$3</f>
        <v>54.222270000000002</v>
      </c>
      <c r="AM17" s="108">
        <v>0</v>
      </c>
      <c r="AN17" s="102"/>
      <c r="AO17" s="102"/>
      <c r="AP17" s="112">
        <f>0.0027611*AP$3</f>
        <v>0.0027610999999999998</v>
      </c>
      <c r="AQ17" s="102">
        <f>4.218083*AQ$3</f>
        <v>4.218083</v>
      </c>
      <c r="AR17" s="112">
        <f>0.0012041*AR$3</f>
        <v>0.0012041</v>
      </c>
      <c r="AS17" s="102">
        <f>11.48889*AS$3</f>
        <v>11.48889</v>
      </c>
      <c r="AT17" s="110">
        <f>0.0473576*AT$3</f>
        <v>0.0473576</v>
      </c>
    </row>
    <row r="18" s="102" customFormat="1" ht="12">
      <c r="A18" s="103"/>
      <c r="E18" s="104"/>
      <c r="F18" s="105"/>
      <c r="G18" s="105"/>
      <c r="H18" s="106"/>
      <c r="I18" s="106"/>
      <c r="J18" s="104"/>
      <c r="K18" s="104"/>
      <c r="L18" s="115"/>
      <c r="M18" s="115"/>
      <c r="N18" s="107"/>
      <c r="O18" s="107"/>
      <c r="P18" s="102"/>
      <c r="Q18" s="102"/>
      <c r="R18" s="115"/>
      <c r="S18" s="115"/>
      <c r="T18" s="108"/>
      <c r="U18" s="109"/>
      <c r="V18" s="106"/>
      <c r="W18" s="106"/>
      <c r="X18" s="109"/>
      <c r="Y18" s="110"/>
      <c r="Z18" s="110"/>
      <c r="AA18" s="114"/>
      <c r="AB18" s="114"/>
      <c r="AC18" s="110"/>
      <c r="AD18" s="112"/>
      <c r="AE18" s="110"/>
      <c r="AF18" s="110"/>
      <c r="AG18" s="110"/>
      <c r="AH18" s="113"/>
      <c r="AI18" s="109"/>
      <c r="AJ18" s="114"/>
      <c r="AK18" s="114"/>
      <c r="AL18" s="108"/>
      <c r="AM18" s="108"/>
      <c r="AN18" s="102"/>
      <c r="AO18" s="102"/>
      <c r="AP18" s="112"/>
      <c r="AQ18" s="102"/>
      <c r="AR18" s="112"/>
      <c r="AS18" s="102"/>
      <c r="AT18" s="110"/>
    </row>
    <row r="19" s="102" customFormat="1" ht="12">
      <c r="A19" s="103" t="s">
        <v>840</v>
      </c>
      <c r="B19" s="102" t="s">
        <v>831</v>
      </c>
      <c r="C19" s="102" t="s">
        <v>833</v>
      </c>
      <c r="E19" s="104">
        <v>0</v>
      </c>
      <c r="F19" s="105">
        <v>0</v>
      </c>
      <c r="G19" s="105" t="s">
        <v>834</v>
      </c>
      <c r="H19" s="106">
        <f t="shared" si="74"/>
        <v>1.014</v>
      </c>
      <c r="I19" s="106">
        <f t="shared" si="75"/>
        <v>0.0040559999999999997</v>
      </c>
      <c r="J19" s="104">
        <v>12.1</v>
      </c>
      <c r="K19" s="104">
        <v>0.20000000000000001</v>
      </c>
      <c r="L19" s="115">
        <v>0.032600000000000004</v>
      </c>
      <c r="M19" s="115">
        <v>0.0016000000000000001</v>
      </c>
      <c r="N19" s="107">
        <v>0.0080000000000000002</v>
      </c>
      <c r="O19" s="107">
        <v>0.002</v>
      </c>
      <c r="P19" s="102">
        <v>0</v>
      </c>
      <c r="Q19" s="102">
        <v>0.17000000000000001</v>
      </c>
      <c r="R19" s="115">
        <v>0.031100000000000003</v>
      </c>
      <c r="S19" s="115">
        <v>0.0018000000000000002</v>
      </c>
      <c r="T19" s="108">
        <f>3.79096E-18*T$3</f>
        <v>0.00037909600000000004</v>
      </c>
      <c r="U19" s="109">
        <f t="shared" si="76"/>
        <v>0.70446883913907843</v>
      </c>
      <c r="V19" s="106">
        <f>0.9529524*V$3</f>
        <v>95295.240000000005</v>
      </c>
      <c r="W19" s="106">
        <f>0.0753658*W$3</f>
        <v>7536.5799999999999</v>
      </c>
      <c r="X19" s="109">
        <v>0</v>
      </c>
      <c r="Y19" s="110">
        <v>0</v>
      </c>
      <c r="Z19" s="110">
        <f>5.259677*Z$3</f>
        <v>5.2596769999999999</v>
      </c>
      <c r="AA19" s="111">
        <v>0</v>
      </c>
      <c r="AB19" s="111">
        <v>9</v>
      </c>
      <c r="AC19" s="110">
        <f>0.2630716*AC$3</f>
        <v>0.26307160000000002</v>
      </c>
      <c r="AD19" s="112">
        <f>0.0735792*AD$3</f>
        <v>0.073579199999999997</v>
      </c>
      <c r="AE19" s="110">
        <f>371.7832*AE$3</f>
        <v>371.78320000000002</v>
      </c>
      <c r="AF19" s="110">
        <f>20.59851*AF$3</f>
        <v>20.598510000000001</v>
      </c>
      <c r="AG19" s="110">
        <f>89.94642*AG$3</f>
        <v>89.946420000000003</v>
      </c>
      <c r="AH19" s="113">
        <f>18.68343*AH$3</f>
        <v>18.683430000000001</v>
      </c>
      <c r="AI19" s="109">
        <f>24.22038*AI$3</f>
        <v>24.220379999999999</v>
      </c>
      <c r="AJ19" s="114">
        <v>160</v>
      </c>
      <c r="AK19" s="114">
        <v>30</v>
      </c>
      <c r="AL19" s="108">
        <f>31.32734*AL$3</f>
        <v>31.32734</v>
      </c>
      <c r="AM19" s="108">
        <v>0</v>
      </c>
      <c r="AN19" s="102"/>
      <c r="AO19" s="102"/>
      <c r="AP19" s="112">
        <f>0.0025645*AP$3</f>
        <v>0.0025644999999999999</v>
      </c>
      <c r="AQ19" s="102">
        <f>6.223042*AQ$3</f>
        <v>6.2230420000000004</v>
      </c>
      <c r="AR19" s="112">
        <f>0.0026928*AR$3</f>
        <v>0.0026928</v>
      </c>
      <c r="AS19" s="102">
        <f>5.546059*AS$3</f>
        <v>5.5460589999999996</v>
      </c>
      <c r="AT19" s="110">
        <f>0.1020624*AT$3</f>
        <v>0.1020624</v>
      </c>
    </row>
    <row r="20" s="102" customFormat="1" ht="12">
      <c r="A20" s="103"/>
      <c r="E20" s="104"/>
      <c r="F20" s="105"/>
      <c r="G20" s="105"/>
      <c r="H20" s="106"/>
      <c r="I20" s="106"/>
      <c r="J20" s="102"/>
      <c r="K20" s="102"/>
      <c r="L20" s="115"/>
      <c r="M20" s="115"/>
      <c r="N20" s="115"/>
      <c r="O20" s="115"/>
      <c r="P20" s="102"/>
      <c r="Q20" s="102"/>
      <c r="R20" s="115"/>
      <c r="S20" s="115"/>
      <c r="T20" s="108"/>
      <c r="U20" s="109"/>
      <c r="V20" s="106"/>
      <c r="W20" s="106"/>
      <c r="X20" s="109"/>
      <c r="Y20" s="110"/>
      <c r="Z20" s="110"/>
      <c r="AA20" s="116"/>
      <c r="AB20" s="116"/>
      <c r="AC20" s="110"/>
      <c r="AD20" s="112"/>
      <c r="AE20" s="110"/>
      <c r="AF20" s="110"/>
      <c r="AG20" s="110"/>
      <c r="AH20" s="113"/>
      <c r="AI20" s="109"/>
      <c r="AJ20" s="116"/>
      <c r="AK20" s="116"/>
      <c r="AL20" s="108"/>
      <c r="AM20" s="108"/>
      <c r="AN20" s="102"/>
      <c r="AO20" s="102"/>
      <c r="AP20" s="112"/>
      <c r="AQ20" s="102"/>
      <c r="AR20" s="112"/>
      <c r="AS20" s="102"/>
      <c r="AT20" s="110"/>
    </row>
    <row r="21" s="102" customFormat="1" ht="12">
      <c r="A21" s="103" t="s">
        <v>841</v>
      </c>
      <c r="B21" s="102" t="s">
        <v>842</v>
      </c>
      <c r="C21" s="102" t="s">
        <v>833</v>
      </c>
      <c r="E21" s="104">
        <v>0</v>
      </c>
      <c r="F21" s="105">
        <v>0</v>
      </c>
      <c r="G21" s="105" t="s">
        <v>834</v>
      </c>
      <c r="H21" s="106">
        <f t="shared" ref="H21:H63" si="77">0.001013*H$3</f>
        <v>1.0129999999999999</v>
      </c>
      <c r="I21" s="106">
        <f t="shared" ref="I21:I63" si="78">0.000004052*I$3</f>
        <v>0.004052</v>
      </c>
      <c r="J21" s="102">
        <v>7.7000000000000002</v>
      </c>
      <c r="K21" s="102">
        <v>0.17999999999999999</v>
      </c>
      <c r="L21" s="115">
        <v>0.013300000000000001</v>
      </c>
      <c r="M21" s="115">
        <v>0.00069999999999999999</v>
      </c>
      <c r="N21" s="107">
        <v>0.0050000000000000001</v>
      </c>
      <c r="O21" s="107">
        <v>0.002</v>
      </c>
      <c r="P21" s="104">
        <v>0.20000000000000001</v>
      </c>
      <c r="Q21" s="104">
        <v>0.20000000000000001</v>
      </c>
      <c r="R21" s="107">
        <v>0.0050000000000000001</v>
      </c>
      <c r="S21" s="107">
        <v>0.0040000000000000001</v>
      </c>
      <c r="T21" s="108">
        <f>1.423209E-18*T$3</f>
        <v>0.00014232089999999999</v>
      </c>
      <c r="U21" s="109">
        <f t="shared" si="76"/>
        <v>0.28740599878986944</v>
      </c>
      <c r="V21" s="106">
        <f>0.3713063*V$3</f>
        <v>37130.629999999997</v>
      </c>
      <c r="W21" s="106">
        <f>0.2653167*W$3</f>
        <v>26531.670000000002</v>
      </c>
      <c r="X21" s="109">
        <f>1.360991*X$3</f>
        <v>1.3609910000000001</v>
      </c>
      <c r="Y21" s="110">
        <f>18.51079*Y$3</f>
        <v>18.51079</v>
      </c>
      <c r="Z21" s="110">
        <f>15.92361*Z$3</f>
        <v>15.92361</v>
      </c>
      <c r="AA21" s="114">
        <v>30</v>
      </c>
      <c r="AB21" s="114">
        <v>30</v>
      </c>
      <c r="AC21" s="110">
        <f>0.3751443*AC$3</f>
        <v>0.37514429999999999</v>
      </c>
      <c r="AD21" s="112">
        <f>0.1611452*AD$3</f>
        <v>0.16114519999999999</v>
      </c>
      <c r="AE21" s="110">
        <f>579.8134*AE$3</f>
        <v>579.8134</v>
      </c>
      <c r="AF21" s="110">
        <f>36.2194*AF$3</f>
        <v>36.2194</v>
      </c>
      <c r="AG21" s="110">
        <f>477.4473*AG$3</f>
        <v>477.44729999999998</v>
      </c>
      <c r="AH21" s="113">
        <f>85.34009*AH$3</f>
        <v>85.340090000000004</v>
      </c>
      <c r="AI21" s="109">
        <f>81.33388*AI$3</f>
        <v>81.333879999999994</v>
      </c>
      <c r="AJ21" s="116">
        <v>710</v>
      </c>
      <c r="AK21" s="116">
        <v>100</v>
      </c>
      <c r="AL21" s="108">
        <f>105.1462*AL$3</f>
        <v>105.14619999999999</v>
      </c>
      <c r="AM21" s="108">
        <v>0</v>
      </c>
      <c r="AN21" s="102"/>
      <c r="AO21" s="102"/>
      <c r="AP21" s="112">
        <f>0.0006317*AP$3</f>
        <v>0.00063170000000000001</v>
      </c>
      <c r="AQ21" s="102">
        <f>72.26219*AQ$3</f>
        <v>72.262190000000004</v>
      </c>
      <c r="AR21" s="112">
        <f>0.0017035*AR$3</f>
        <v>0.0017034999999999999</v>
      </c>
      <c r="AS21" s="102">
        <f>6.401731*AS$3</f>
        <v>6.4017309999999998</v>
      </c>
      <c r="AT21" s="110">
        <f>0.0138601*AT$3</f>
        <v>0.0138601</v>
      </c>
    </row>
    <row r="22" s="102" customFormat="1" ht="12">
      <c r="A22" s="103" t="s">
        <v>843</v>
      </c>
      <c r="B22" s="102" t="s">
        <v>842</v>
      </c>
      <c r="C22" s="102" t="s">
        <v>833</v>
      </c>
      <c r="E22" s="104">
        <v>0</v>
      </c>
      <c r="F22" s="105">
        <v>0</v>
      </c>
      <c r="G22" s="105" t="s">
        <v>834</v>
      </c>
      <c r="H22" s="106">
        <f t="shared" si="77"/>
        <v>1.0129999999999999</v>
      </c>
      <c r="I22" s="106">
        <f t="shared" si="78"/>
        <v>0.004052</v>
      </c>
      <c r="J22" s="104">
        <v>40.200000000000003</v>
      </c>
      <c r="K22" s="104">
        <v>0.20000000000000001</v>
      </c>
      <c r="L22" s="107">
        <v>0.153</v>
      </c>
      <c r="M22" s="107">
        <v>0.0030000000000000001</v>
      </c>
      <c r="N22" s="115">
        <v>0.012400000000000001</v>
      </c>
      <c r="O22" s="115">
        <v>0.0019</v>
      </c>
      <c r="P22" s="102">
        <v>0.20999999999999999</v>
      </c>
      <c r="Q22" s="102">
        <v>0.19</v>
      </c>
      <c r="R22" s="107">
        <v>0.032000000000000001</v>
      </c>
      <c r="S22" s="107">
        <v>0.0030000000000000001</v>
      </c>
      <c r="T22" s="108">
        <f>1.632588E-17*T$3</f>
        <v>0.0016325880000000001</v>
      </c>
      <c r="U22" s="109">
        <f t="shared" si="76"/>
        <v>3.3062494597631593</v>
      </c>
      <c r="V22" s="106">
        <f>0.2077801*V$3</f>
        <v>20778.009999999998</v>
      </c>
      <c r="W22" s="106">
        <f>0.0192376*W$3</f>
        <v>1923.76</v>
      </c>
      <c r="X22" s="109">
        <f>0.182097*X$3</f>
        <v>0.18209700000000001</v>
      </c>
      <c r="Y22" s="110">
        <f>1.385939*Y$3</f>
        <v>1.385939</v>
      </c>
      <c r="Z22" s="110">
        <f>1.284305*Z$3</f>
        <v>1.284305</v>
      </c>
      <c r="AA22" s="111">
        <v>2</v>
      </c>
      <c r="AB22" s="111">
        <v>2</v>
      </c>
      <c r="AC22" s="110">
        <f>0.0810259*AC$3</f>
        <v>0.081025899999999998</v>
      </c>
      <c r="AD22" s="112">
        <f>0.0130884*AD$3</f>
        <v>0.0130884</v>
      </c>
      <c r="AE22" s="110">
        <f>262.5142*AE$3</f>
        <v>262.51420000000002</v>
      </c>
      <c r="AF22" s="110">
        <f>5.920513*AF$3</f>
        <v>5.9205129999999997</v>
      </c>
      <c r="AG22" s="110">
        <f>201.4071*AG$3</f>
        <v>201.40710000000001</v>
      </c>
      <c r="AH22" s="113">
        <f>7.265638*AH$3</f>
        <v>7.265638</v>
      </c>
      <c r="AI22" s="109">
        <f>76.65329*AI$3</f>
        <v>76.653289999999998</v>
      </c>
      <c r="AJ22" s="114">
        <v>335</v>
      </c>
      <c r="AK22" s="114">
        <v>11</v>
      </c>
      <c r="AL22" s="108">
        <f>11.09574*AL$3</f>
        <v>11.095739999999999</v>
      </c>
      <c r="AM22" s="108">
        <v>0</v>
      </c>
      <c r="AN22" s="102"/>
      <c r="AO22" s="102"/>
      <c r="AP22" s="112">
        <f>0.0007901*AP$3</f>
        <v>0.00079009999999999996</v>
      </c>
      <c r="AQ22" s="102">
        <f>9.05609*AQ$3</f>
        <v>9.0560899999999993</v>
      </c>
      <c r="AR22" s="112">
        <f>0.0038059*AR$3</f>
        <v>0.0038059000000000001</v>
      </c>
      <c r="AS22" s="102">
        <f>2.258851*AS$3</f>
        <v>2.2588509999999999</v>
      </c>
      <c r="AT22" s="110">
        <f>0.0296076*AT$3</f>
        <v>0.029607600000000001</v>
      </c>
    </row>
    <row r="23" s="102" customFormat="1" ht="12">
      <c r="A23" s="103" t="s">
        <v>844</v>
      </c>
      <c r="B23" s="102" t="s">
        <v>842</v>
      </c>
      <c r="C23" s="102" t="s">
        <v>833</v>
      </c>
      <c r="E23" s="104">
        <v>0</v>
      </c>
      <c r="F23" s="105">
        <v>0</v>
      </c>
      <c r="G23" s="105" t="s">
        <v>834</v>
      </c>
      <c r="H23" s="106">
        <f t="shared" si="77"/>
        <v>1.0129999999999999</v>
      </c>
      <c r="I23" s="106">
        <f t="shared" si="78"/>
        <v>0.004052</v>
      </c>
      <c r="J23" s="104">
        <v>47.799999999999997</v>
      </c>
      <c r="K23" s="104">
        <v>0.29999999999999999</v>
      </c>
      <c r="L23" s="107">
        <v>0.183</v>
      </c>
      <c r="M23" s="107">
        <v>0.0030000000000000001</v>
      </c>
      <c r="N23" s="115">
        <v>0.0161</v>
      </c>
      <c r="O23" s="115">
        <v>0.0019</v>
      </c>
      <c r="P23" s="102">
        <v>0</v>
      </c>
      <c r="Q23" s="102">
        <v>0.17999999999999999</v>
      </c>
      <c r="R23" s="107">
        <v>0.034000000000000002</v>
      </c>
      <c r="S23" s="107">
        <v>0.0040000000000000001</v>
      </c>
      <c r="T23" s="108">
        <f>1.952107E-17*T$3</f>
        <v>0.001952107</v>
      </c>
      <c r="U23" s="109">
        <f t="shared" si="76"/>
        <v>3.9545336675598577</v>
      </c>
      <c r="V23" s="106">
        <f>0.186751*V$3</f>
        <v>18675.099999999999</v>
      </c>
      <c r="W23" s="106">
        <f>0.0196447*W$3</f>
        <v>1964.47</v>
      </c>
      <c r="X23" s="109">
        <v>0</v>
      </c>
      <c r="Y23" s="110">
        <v>0</v>
      </c>
      <c r="Z23" s="110">
        <f>1.0118*Z$3</f>
        <v>1.0118</v>
      </c>
      <c r="AA23" s="104">
        <v>0</v>
      </c>
      <c r="AB23" s="104">
        <v>1.7</v>
      </c>
      <c r="AC23" s="110">
        <f>0.0879215*AC$3</f>
        <v>0.0879215</v>
      </c>
      <c r="AD23" s="112">
        <f>0.010976*AD$3</f>
        <v>0.010976</v>
      </c>
      <c r="AE23" s="110">
        <f>260.9768*AE$3</f>
        <v>260.97680000000003</v>
      </c>
      <c r="AF23" s="110">
        <f>5.576205*AF$3</f>
        <v>5.5762049999999999</v>
      </c>
      <c r="AG23" s="110">
        <f>205.5251*AG$3</f>
        <v>205.52510000000001</v>
      </c>
      <c r="AH23" s="113">
        <f>7.302317*AH$3</f>
        <v>7.3023170000000004</v>
      </c>
      <c r="AI23" s="109">
        <f>78.81679*AI$3</f>
        <v>78.816789999999997</v>
      </c>
      <c r="AJ23" s="114">
        <v>341</v>
      </c>
      <c r="AK23" s="114">
        <v>11</v>
      </c>
      <c r="AL23" s="108">
        <f>11.11533*AL$3</f>
        <v>11.11533</v>
      </c>
      <c r="AM23" s="108">
        <v>0</v>
      </c>
      <c r="AN23" s="102"/>
      <c r="AO23" s="102"/>
      <c r="AP23" s="112">
        <f>0.0007169*AP$3</f>
        <v>0.00071690000000000002</v>
      </c>
      <c r="AQ23" s="102">
        <f>10.34531*AQ$3</f>
        <v>10.34531</v>
      </c>
      <c r="AR23" s="112">
        <f>0.0038349*AR$3</f>
        <v>0.0038349</v>
      </c>
      <c r="AS23" s="102">
        <f>2.136275*AS$3</f>
        <v>2.1362749999999999</v>
      </c>
      <c r="AT23" s="110">
        <f>0.0325707*AT$3</f>
        <v>0.032570700000000001</v>
      </c>
    </row>
    <row r="24" s="102" customFormat="1" ht="12">
      <c r="A24" s="103" t="s">
        <v>845</v>
      </c>
      <c r="B24" s="102" t="s">
        <v>842</v>
      </c>
      <c r="C24" s="102" t="s">
        <v>833</v>
      </c>
      <c r="E24" s="104">
        <v>0</v>
      </c>
      <c r="F24" s="105">
        <v>0</v>
      </c>
      <c r="G24" s="105" t="s">
        <v>834</v>
      </c>
      <c r="H24" s="106">
        <f t="shared" si="77"/>
        <v>1.0129999999999999</v>
      </c>
      <c r="I24" s="106">
        <f t="shared" si="78"/>
        <v>0.004052</v>
      </c>
      <c r="J24" s="104">
        <v>13.5</v>
      </c>
      <c r="K24" s="104">
        <v>0.29999999999999999</v>
      </c>
      <c r="L24" s="107">
        <v>0.062</v>
      </c>
      <c r="M24" s="107">
        <v>0.002</v>
      </c>
      <c r="N24" s="115">
        <v>0.0044000000000000003</v>
      </c>
      <c r="O24" s="115">
        <v>0.0018000000000000002</v>
      </c>
      <c r="P24" s="102">
        <v>0.32000000000000001</v>
      </c>
      <c r="Q24" s="102">
        <v>0.16</v>
      </c>
      <c r="R24" s="107">
        <v>0.014999999999999999</v>
      </c>
      <c r="S24" s="107">
        <v>0.002</v>
      </c>
      <c r="T24" s="108">
        <f>7.055463E-18*T$3</f>
        <v>0.00070554630000000003</v>
      </c>
      <c r="U24" s="109">
        <f t="shared" si="76"/>
        <v>1.3397873627798425</v>
      </c>
      <c r="V24" s="106">
        <f>0.2412677*V$3</f>
        <v>24126.77</v>
      </c>
      <c r="W24" s="106">
        <f>0.0343377*W$3</f>
        <v>3433.77</v>
      </c>
      <c r="X24" s="109">
        <f>0.5739072*X$3</f>
        <v>0.57390719999999995</v>
      </c>
      <c r="Y24" s="110">
        <f>5.071988*Y$3</f>
        <v>5.0719880000000002</v>
      </c>
      <c r="Z24" s="110">
        <f>2.668832*Z$3</f>
        <v>2.6688320000000001</v>
      </c>
      <c r="AA24" s="111">
        <v>9</v>
      </c>
      <c r="AB24" s="111">
        <v>4</v>
      </c>
      <c r="AC24" s="110">
        <f>0.0704793*AC$3</f>
        <v>0.070479299999999995</v>
      </c>
      <c r="AD24" s="112">
        <f>0.0294179*AD$3</f>
        <v>0.0294179</v>
      </c>
      <c r="AE24" s="110">
        <f>216.7707*AE$3</f>
        <v>216.77070000000001</v>
      </c>
      <c r="AF24" s="110">
        <f>10.1265*AF$3</f>
        <v>10.1265</v>
      </c>
      <c r="AG24" s="110">
        <f>146.373*AG$3</f>
        <v>146.37299999999999</v>
      </c>
      <c r="AH24" s="113">
        <f>12.41991*AH$3</f>
        <v>12.41991</v>
      </c>
      <c r="AI24" s="109">
        <f>67.29858*AI$3</f>
        <v>67.298580000000001</v>
      </c>
      <c r="AJ24" s="114">
        <v>249</v>
      </c>
      <c r="AK24" s="114">
        <v>20</v>
      </c>
      <c r="AL24" s="108">
        <f>19.78877*AL$3</f>
        <v>19.78877</v>
      </c>
      <c r="AM24" s="108">
        <v>0</v>
      </c>
      <c r="AN24" s="102"/>
      <c r="AO24" s="102"/>
      <c r="AP24" s="112">
        <f>0.0011066*AP$3</f>
        <v>0.0011065999999999999</v>
      </c>
      <c r="AQ24" s="102">
        <f>13.87105*AQ$3</f>
        <v>13.87105</v>
      </c>
      <c r="AR24" s="112">
        <f>0.0045977*AR$3</f>
        <v>0.0045976999999999997</v>
      </c>
      <c r="AS24" s="102">
        <f>4.6874*AS$3</f>
        <v>4.6874000000000002</v>
      </c>
      <c r="AT24" s="110">
        <f>0.073576*AT$3</f>
        <v>0.073576000000000003</v>
      </c>
    </row>
    <row r="25" s="102" customFormat="1" ht="12">
      <c r="A25" s="103" t="s">
        <v>846</v>
      </c>
      <c r="B25" s="102" t="s">
        <v>842</v>
      </c>
      <c r="C25" s="102" t="s">
        <v>833</v>
      </c>
      <c r="E25" s="104">
        <v>0</v>
      </c>
      <c r="F25" s="105">
        <v>0</v>
      </c>
      <c r="G25" s="105" t="s">
        <v>834</v>
      </c>
      <c r="H25" s="106">
        <f t="shared" si="77"/>
        <v>1.0129999999999999</v>
      </c>
      <c r="I25" s="106">
        <f t="shared" si="78"/>
        <v>0.004052</v>
      </c>
      <c r="J25" s="104">
        <v>19.800000000000001</v>
      </c>
      <c r="K25" s="104">
        <v>0.20000000000000001</v>
      </c>
      <c r="L25" s="115">
        <v>0.016500000000000001</v>
      </c>
      <c r="M25" s="115">
        <v>0.0016000000000000001</v>
      </c>
      <c r="N25" s="107">
        <v>0.014</v>
      </c>
      <c r="O25" s="107">
        <v>0.002</v>
      </c>
      <c r="P25" s="102">
        <v>0</v>
      </c>
      <c r="Q25" s="102">
        <v>0.19</v>
      </c>
      <c r="R25" s="107">
        <v>0.051000000000000004</v>
      </c>
      <c r="S25" s="107">
        <v>0.002</v>
      </c>
      <c r="T25" s="108">
        <f>1.821701E-18*T$3</f>
        <v>0.00018217010000000001</v>
      </c>
      <c r="U25" s="109">
        <f t="shared" si="76"/>
        <v>0.35655631428818391</v>
      </c>
      <c r="V25" s="106">
        <f>3.100848*V$3</f>
        <v>310084.79999999999</v>
      </c>
      <c r="W25" s="106">
        <f>0.349191*W$3</f>
        <v>34919.099999999999</v>
      </c>
      <c r="X25" s="109">
        <v>0</v>
      </c>
      <c r="Y25" s="110">
        <v>0</v>
      </c>
      <c r="Z25" s="110">
        <f>11.7448*Z$3</f>
        <v>11.7448</v>
      </c>
      <c r="AA25" s="114">
        <v>0</v>
      </c>
      <c r="AB25" s="114">
        <v>20</v>
      </c>
      <c r="AC25" s="110">
        <f>0.8450469*AC$3</f>
        <v>0.84504690000000005</v>
      </c>
      <c r="AD25" s="112">
        <f>0.1618254*AD$3</f>
        <v>0.16182540000000001</v>
      </c>
      <c r="AE25" s="110">
        <f>1205.599*AE$3</f>
        <v>1205.5989999999999</v>
      </c>
      <c r="AF25" s="110">
        <f>126.263*AF$3</f>
        <v>126.26300000000001</v>
      </c>
      <c r="AG25" s="110">
        <f>289.0929*AG$3</f>
        <v>289.09289999999999</v>
      </c>
      <c r="AH25" s="113">
        <f>51.6857*AH$3</f>
        <v>51.685699999999997</v>
      </c>
      <c r="AI25" s="109">
        <f>23.99099*AI$3</f>
        <v>23.99099</v>
      </c>
      <c r="AJ25" s="114">
        <v>460</v>
      </c>
      <c r="AK25" s="114">
        <v>70</v>
      </c>
      <c r="AL25" s="108">
        <f>73.07943*AL$3</f>
        <v>73.079430000000002</v>
      </c>
      <c r="AM25" s="108">
        <v>0</v>
      </c>
      <c r="AN25" s="102"/>
      <c r="AO25" s="102"/>
      <c r="AP25" s="112">
        <f>0.0025722*AP$3</f>
        <v>0.0025722000000000002</v>
      </c>
      <c r="AQ25" s="102">
        <f>4.46697*AQ$3</f>
        <v>4.4669699999999999</v>
      </c>
      <c r="AR25" s="112">
        <f>0.0008299*AR$3</f>
        <v>0.00082989999999999995</v>
      </c>
      <c r="AS25" s="102">
        <f>10.49701*AS$3</f>
        <v>10.49701</v>
      </c>
      <c r="AT25" s="110">
        <f>0.032007*AT$3</f>
        <v>0.032007000000000001</v>
      </c>
    </row>
    <row r="26" s="102" customFormat="1" ht="12">
      <c r="A26" s="103" t="s">
        <v>847</v>
      </c>
      <c r="B26" s="102" t="s">
        <v>842</v>
      </c>
      <c r="C26" s="102" t="s">
        <v>833</v>
      </c>
      <c r="E26" s="104">
        <v>0</v>
      </c>
      <c r="F26" s="105">
        <v>0</v>
      </c>
      <c r="G26" s="105" t="s">
        <v>834</v>
      </c>
      <c r="H26" s="106">
        <f t="shared" si="77"/>
        <v>1.0129999999999999</v>
      </c>
      <c r="I26" s="106">
        <f t="shared" si="78"/>
        <v>0.004052</v>
      </c>
      <c r="J26" s="104">
        <v>7.5999999999999996</v>
      </c>
      <c r="K26" s="104">
        <v>0.20000000000000001</v>
      </c>
      <c r="L26" s="115">
        <v>0.026200000000000001</v>
      </c>
      <c r="M26" s="115">
        <v>0.0017000000000000001</v>
      </c>
      <c r="N26" s="107">
        <v>0.019</v>
      </c>
      <c r="O26" s="107">
        <v>0.0060000000000000001</v>
      </c>
      <c r="P26" s="102">
        <v>0</v>
      </c>
      <c r="Q26" s="102">
        <v>0.17999999999999999</v>
      </c>
      <c r="R26" s="115">
        <v>0.016800000000000002</v>
      </c>
      <c r="S26" s="115">
        <v>0.0018000000000000002</v>
      </c>
      <c r="T26" s="108">
        <f>2.786764E-18*T$3</f>
        <v>0.00027867639999999997</v>
      </c>
      <c r="U26" s="109">
        <f t="shared" si="76"/>
        <v>0.5661682081424495</v>
      </c>
      <c r="V26" s="106">
        <f>0.6435887*V$3</f>
        <v>64358.870000000003</v>
      </c>
      <c r="W26" s="106">
        <f>0.0805595*W$3</f>
        <v>8055.9500000000007</v>
      </c>
      <c r="X26" s="109">
        <v>0</v>
      </c>
      <c r="Y26" s="110">
        <v>0</v>
      </c>
      <c r="Z26" s="110">
        <f>6.950784*Z$3</f>
        <v>6.9507839999999996</v>
      </c>
      <c r="AA26" s="114">
        <v>0</v>
      </c>
      <c r="AB26" s="114">
        <v>12</v>
      </c>
      <c r="AC26" s="110">
        <f>0.7436272*AC$3</f>
        <v>0.74362720000000004</v>
      </c>
      <c r="AD26" s="112">
        <f>0.2400395*AD$3</f>
        <v>0.24003949999999999</v>
      </c>
      <c r="AE26" s="110">
        <f>292.1914*AE$3</f>
        <v>292.19139999999999</v>
      </c>
      <c r="AF26" s="110">
        <f>21.83134*AF$3</f>
        <v>21.831340000000001</v>
      </c>
      <c r="AG26" s="110">
        <f>100.0525*AG$3</f>
        <v>100.05249999999999</v>
      </c>
      <c r="AH26" s="113">
        <f>22.75644*AH$3</f>
        <v>22.756440000000001</v>
      </c>
      <c r="AI26" s="109">
        <f>34.54456*AI$3</f>
        <v>34.544559999999997</v>
      </c>
      <c r="AJ26" s="114">
        <v>170</v>
      </c>
      <c r="AK26" s="114">
        <v>40</v>
      </c>
      <c r="AL26" s="108">
        <f>37.76673*AL$3</f>
        <v>37.766730000000003</v>
      </c>
      <c r="AM26" s="108">
        <v>0</v>
      </c>
      <c r="AN26" s="102"/>
      <c r="AO26" s="102"/>
      <c r="AP26" s="112">
        <f>0.0022151*AP$3</f>
        <v>0.0022150999999999998</v>
      </c>
      <c r="AQ26" s="102">
        <f>10.89152*AQ$3</f>
        <v>10.89152</v>
      </c>
      <c r="AR26" s="112">
        <f>0.0034526*AR$3</f>
        <v>0.0034526000000000001</v>
      </c>
      <c r="AS26" s="102">
        <f>7.43132*AS$3</f>
        <v>7.4313200000000004</v>
      </c>
      <c r="AT26" s="110">
        <f>0.1177429*AT$3</f>
        <v>0.1177429</v>
      </c>
    </row>
    <row r="27" s="102" customFormat="1" ht="12">
      <c r="A27" s="103"/>
      <c r="E27" s="104"/>
      <c r="F27" s="105"/>
      <c r="G27" s="105"/>
      <c r="H27" s="106"/>
      <c r="I27" s="106"/>
      <c r="J27" s="104"/>
      <c r="K27" s="104"/>
      <c r="L27" s="115"/>
      <c r="M27" s="115"/>
      <c r="N27" s="107"/>
      <c r="O27" s="107"/>
      <c r="P27" s="102"/>
      <c r="Q27" s="102"/>
      <c r="R27" s="115"/>
      <c r="S27" s="115"/>
      <c r="T27" s="108"/>
      <c r="U27" s="109"/>
      <c r="V27" s="106"/>
      <c r="W27" s="106"/>
      <c r="X27" s="109"/>
      <c r="Y27" s="110"/>
      <c r="Z27" s="110"/>
      <c r="AA27" s="114"/>
      <c r="AB27" s="114"/>
      <c r="AC27" s="110"/>
      <c r="AD27" s="112"/>
      <c r="AE27" s="110"/>
      <c r="AF27" s="110"/>
      <c r="AG27" s="110"/>
      <c r="AH27" s="113"/>
      <c r="AI27" s="109"/>
      <c r="AJ27" s="116"/>
      <c r="AK27" s="116"/>
      <c r="AL27" s="108"/>
      <c r="AM27" s="108"/>
      <c r="AN27" s="102"/>
      <c r="AO27" s="102"/>
      <c r="AP27" s="112"/>
      <c r="AQ27" s="102"/>
      <c r="AR27" s="112"/>
      <c r="AS27" s="102"/>
      <c r="AT27" s="110"/>
    </row>
    <row r="28" s="102" customFormat="1" ht="12">
      <c r="A28" s="103" t="s">
        <v>848</v>
      </c>
      <c r="B28" s="102" t="s">
        <v>842</v>
      </c>
      <c r="C28" s="102" t="s">
        <v>833</v>
      </c>
      <c r="E28" s="104">
        <v>0</v>
      </c>
      <c r="F28" s="105">
        <v>0</v>
      </c>
      <c r="G28" s="105" t="s">
        <v>834</v>
      </c>
      <c r="H28" s="106">
        <f t="shared" si="77"/>
        <v>1.0129999999999999</v>
      </c>
      <c r="I28" s="106">
        <f t="shared" si="78"/>
        <v>0.004052</v>
      </c>
      <c r="J28" s="104">
        <v>6.9000000000000004</v>
      </c>
      <c r="K28" s="104">
        <v>0.20000000000000001</v>
      </c>
      <c r="L28" s="115">
        <v>0.0292</v>
      </c>
      <c r="M28" s="115">
        <v>0.0018000000000000002</v>
      </c>
      <c r="N28" s="107">
        <v>0.02</v>
      </c>
      <c r="O28" s="107">
        <v>0.0060000000000000001</v>
      </c>
      <c r="P28" s="102">
        <v>0.089999999999999997</v>
      </c>
      <c r="Q28" s="102">
        <v>0.17000000000000001</v>
      </c>
      <c r="R28" s="115">
        <v>0.0091000000000000004</v>
      </c>
      <c r="S28" s="115">
        <v>0.0018000000000000002</v>
      </c>
      <c r="T28" s="108">
        <f>3.113661E-18*T$3</f>
        <v>0.00031136610000000002</v>
      </c>
      <c r="U28" s="109">
        <f t="shared" si="76"/>
        <v>0.63099662892211927</v>
      </c>
      <c r="V28" s="106">
        <f>0.3119619*V$3</f>
        <v>31196.190000000002</v>
      </c>
      <c r="W28" s="106">
        <f>0.0663449*W$3</f>
        <v>6634.4899999999998</v>
      </c>
      <c r="X28" s="109">
        <f>0.2823659*X$3</f>
        <v>0.2823659</v>
      </c>
      <c r="Y28" s="110">
        <f>3.226645*Y$3</f>
        <v>3.226645</v>
      </c>
      <c r="Z28" s="110">
        <f>5.88219*Z$3</f>
        <v>5.8821899999999996</v>
      </c>
      <c r="AA28" s="111">
        <v>5</v>
      </c>
      <c r="AB28" s="111">
        <v>10</v>
      </c>
      <c r="AC28" s="110">
        <f>0.6971899*AC$3</f>
        <v>0.69718990000000003</v>
      </c>
      <c r="AD28" s="112">
        <f>0.221978*AD$3</f>
        <v>0.22197800000000001</v>
      </c>
      <c r="AE28" s="110">
        <f>238.1614*AE$3</f>
        <v>238.16139999999999</v>
      </c>
      <c r="AF28" s="110">
        <f>17.35222*AF$3</f>
        <v>17.352219999999999</v>
      </c>
      <c r="AG28" s="110">
        <f>146.5458*AG$3</f>
        <v>146.54580000000001</v>
      </c>
      <c r="AH28" s="113">
        <f>22.50524*AH$3</f>
        <v>22.505240000000001</v>
      </c>
      <c r="AI28" s="109">
        <f>61.40164*AI$3</f>
        <v>61.40164</v>
      </c>
      <c r="AJ28" s="114">
        <v>250</v>
      </c>
      <c r="AK28" s="114">
        <v>40</v>
      </c>
      <c r="AL28" s="108">
        <f>35.82474*AL$3</f>
        <v>35.824739999999998</v>
      </c>
      <c r="AM28" s="108">
        <v>0</v>
      </c>
      <c r="AN28" s="102"/>
      <c r="AO28" s="102"/>
      <c r="AP28" s="112">
        <f>0.0013062*AP$3</f>
        <v>0.0013062</v>
      </c>
      <c r="AQ28" s="102">
        <f>20.60819*AQ$3</f>
        <v>20.60819</v>
      </c>
      <c r="AR28" s="112">
        <f>0.0041899*AR$3</f>
        <v>0.0041898999999999999</v>
      </c>
      <c r="AS28" s="102">
        <f>7.308817*AS$3</f>
        <v>7.3088170000000003</v>
      </c>
      <c r="AT28" s="110">
        <f>0.0764675*AT$3</f>
        <v>0.076467499999999994</v>
      </c>
    </row>
    <row r="29" s="102" customFormat="1" ht="12">
      <c r="A29" s="103" t="s">
        <v>849</v>
      </c>
      <c r="B29" s="102" t="s">
        <v>842</v>
      </c>
      <c r="C29" s="102" t="s">
        <v>833</v>
      </c>
      <c r="E29" s="104">
        <v>0</v>
      </c>
      <c r="F29" s="105">
        <v>0</v>
      </c>
      <c r="G29" s="105" t="s">
        <v>834</v>
      </c>
      <c r="H29" s="106">
        <f t="shared" si="77"/>
        <v>1.0129999999999999</v>
      </c>
      <c r="I29" s="106">
        <f t="shared" si="78"/>
        <v>0.004052</v>
      </c>
      <c r="J29" s="104">
        <v>38.700000000000003</v>
      </c>
      <c r="K29" s="104">
        <v>0.40000000000000002</v>
      </c>
      <c r="L29" s="107">
        <v>0.24299999999999999</v>
      </c>
      <c r="M29" s="107">
        <v>0.0050000000000000001</v>
      </c>
      <c r="N29" s="107">
        <v>0.023</v>
      </c>
      <c r="O29" s="107">
        <v>0.002</v>
      </c>
      <c r="P29" s="102">
        <v>0.20000000000000001</v>
      </c>
      <c r="Q29" s="102">
        <v>0.16</v>
      </c>
      <c r="R29" s="115">
        <v>0.048800000000000003</v>
      </c>
      <c r="S29" s="115">
        <v>0.002</v>
      </c>
      <c r="T29" s="108">
        <f>2.595121E-17*T$3</f>
        <v>0.0025951209999999997</v>
      </c>
      <c r="U29" s="109">
        <f t="shared" si="76"/>
        <v>5.2511020831532536</v>
      </c>
      <c r="V29" s="106">
        <f>0.2008406*V$3</f>
        <v>20084.060000000001</v>
      </c>
      <c r="W29" s="106">
        <f>0.0091817*W$3</f>
        <v>918.16999999999996</v>
      </c>
      <c r="X29" s="109">
        <f>0.1131883*X$3</f>
        <v>0.11318830000000001</v>
      </c>
      <c r="Y29" s="110">
        <f>0.8327038*Y$3</f>
        <v>0.83270379999999999</v>
      </c>
      <c r="Z29" s="110">
        <f>0.6770854*Z$3</f>
        <v>0.67708539999999995</v>
      </c>
      <c r="AA29" s="104">
        <v>1.3999999999999999</v>
      </c>
      <c r="AB29" s="104">
        <v>1.2</v>
      </c>
      <c r="AC29" s="110">
        <f>0.0957159*AC$3</f>
        <v>0.095715900000000007</v>
      </c>
      <c r="AD29" s="112">
        <f>0.0097635*AD$3</f>
        <v>0.0097634999999999996</v>
      </c>
      <c r="AE29" s="110">
        <f>159.326*AE$3</f>
        <v>159.32599999999999</v>
      </c>
      <c r="AF29" s="110">
        <f>3.744948*AF$3</f>
        <v>3.7449479999999999</v>
      </c>
      <c r="AG29" s="110">
        <f>100.095*AG$3</f>
        <v>100.095</v>
      </c>
      <c r="AH29" s="113">
        <f>3.641322*AH$3</f>
        <v>3.6413220000000002</v>
      </c>
      <c r="AI29" s="109">
        <f>62.7913*AI$3</f>
        <v>62.7913</v>
      </c>
      <c r="AJ29" s="111">
        <v>174</v>
      </c>
      <c r="AK29" s="111">
        <v>6</v>
      </c>
      <c r="AL29" s="108">
        <f>6.078406*AL$3</f>
        <v>6.0784060000000002</v>
      </c>
      <c r="AM29" s="108">
        <v>0</v>
      </c>
      <c r="AN29" s="102"/>
      <c r="AO29" s="102"/>
      <c r="AP29" s="112">
        <f>0.0012592*AP$3</f>
        <v>0.0012592</v>
      </c>
      <c r="AQ29" s="102">
        <f>4.230017*AQ$3</f>
        <v>4.2300170000000001</v>
      </c>
      <c r="AR29" s="112">
        <f>0.0062732*AR$3</f>
        <v>0.0062731999999999996</v>
      </c>
      <c r="AS29" s="102">
        <f>2.35202*AS$3</f>
        <v>2.35202</v>
      </c>
      <c r="AT29" s="110">
        <f>0.1306263*AT$3</f>
        <v>0.1306263</v>
      </c>
    </row>
    <row r="30" s="102" customFormat="1" ht="12">
      <c r="A30" s="103" t="s">
        <v>850</v>
      </c>
      <c r="B30" s="102" t="s">
        <v>842</v>
      </c>
      <c r="C30" s="102" t="s">
        <v>833</v>
      </c>
      <c r="E30" s="104">
        <v>0</v>
      </c>
      <c r="F30" s="105">
        <v>0</v>
      </c>
      <c r="G30" s="105" t="s">
        <v>834</v>
      </c>
      <c r="H30" s="106">
        <f t="shared" si="77"/>
        <v>1.0129999999999999</v>
      </c>
      <c r="I30" s="106">
        <f t="shared" si="78"/>
        <v>0.004052</v>
      </c>
      <c r="J30" s="104">
        <v>42.700000000000003</v>
      </c>
      <c r="K30" s="104">
        <v>0.40000000000000002</v>
      </c>
      <c r="L30" s="107">
        <v>0.17899999999999999</v>
      </c>
      <c r="M30" s="107">
        <v>0.0040000000000000001</v>
      </c>
      <c r="N30" s="115">
        <v>0.021600000000000001</v>
      </c>
      <c r="O30" s="115">
        <v>0.0018000000000000002</v>
      </c>
      <c r="P30" s="102">
        <v>0</v>
      </c>
      <c r="Q30" s="102">
        <v>0.16</v>
      </c>
      <c r="R30" s="107">
        <v>0.067000000000000004</v>
      </c>
      <c r="S30" s="107">
        <v>0.002</v>
      </c>
      <c r="T30" s="108">
        <f>1.913709E-17*T$3</f>
        <v>0.0019137090000000002</v>
      </c>
      <c r="U30" s="109">
        <f t="shared" si="76"/>
        <v>3.8680957731869641</v>
      </c>
      <c r="V30" s="106">
        <f>0.3714513*V$3</f>
        <v>37145.129999999997</v>
      </c>
      <c r="W30" s="106">
        <f>0.0145749*W$3</f>
        <v>1457.49</v>
      </c>
      <c r="X30" s="109">
        <v>0</v>
      </c>
      <c r="Y30" s="110">
        <v>0</v>
      </c>
      <c r="Z30" s="110">
        <f>0.9293427*Z$3</f>
        <v>0.92934269999999997</v>
      </c>
      <c r="AA30" s="104">
        <v>0</v>
      </c>
      <c r="AB30" s="104">
        <v>1.6000000000000001</v>
      </c>
      <c r="AC30" s="110">
        <f>0.1205778*AC$3</f>
        <v>0.1205778</v>
      </c>
      <c r="AD30" s="112">
        <f>0.0109139*AD$3</f>
        <v>0.010913900000000001</v>
      </c>
      <c r="AE30" s="110">
        <f>237.9565*AE$3</f>
        <v>237.95650000000001</v>
      </c>
      <c r="AF30" s="110">
        <f>5.409029*AF$3</f>
        <v>5.4090290000000003</v>
      </c>
      <c r="AG30" s="110">
        <f>127.8996*AG$3</f>
        <v>127.89960000000001</v>
      </c>
      <c r="AH30" s="113">
        <f>5.058121*AH$3</f>
        <v>5.0581209999999999</v>
      </c>
      <c r="AI30" s="109">
        <f>53.81235*AI$3</f>
        <v>53.812350000000002</v>
      </c>
      <c r="AJ30" s="111">
        <v>220</v>
      </c>
      <c r="AK30" s="111">
        <v>8</v>
      </c>
      <c r="AL30" s="108">
        <f>8.225337*AL$3</f>
        <v>8.2253369999999997</v>
      </c>
      <c r="AM30" s="108">
        <v>0</v>
      </c>
      <c r="AN30" s="102"/>
      <c r="AO30" s="102"/>
      <c r="AP30" s="112">
        <f>0.001563*AP$3</f>
        <v>0.0015629999999999999</v>
      </c>
      <c r="AQ30" s="102">
        <f>3.478934*AQ$3</f>
        <v>3.4789340000000002</v>
      </c>
      <c r="AR30" s="112">
        <f>0.0042074*AR$3</f>
        <v>0.0042074</v>
      </c>
      <c r="AS30" s="102">
        <f>2.271834*AS$3</f>
        <v>2.2718340000000001</v>
      </c>
      <c r="AT30" s="110">
        <f>0.1287208*AT$3</f>
        <v>0.1287208</v>
      </c>
    </row>
    <row r="31" s="102" customFormat="1" ht="12">
      <c r="A31" s="103" t="s">
        <v>851</v>
      </c>
      <c r="B31" s="102" t="s">
        <v>842</v>
      </c>
      <c r="C31" s="102" t="s">
        <v>833</v>
      </c>
      <c r="E31" s="104">
        <v>0</v>
      </c>
      <c r="F31" s="105">
        <v>0</v>
      </c>
      <c r="G31" s="105" t="s">
        <v>834</v>
      </c>
      <c r="H31" s="106">
        <f t="shared" si="77"/>
        <v>1.0129999999999999</v>
      </c>
      <c r="I31" s="106">
        <f t="shared" si="78"/>
        <v>0.004052</v>
      </c>
      <c r="J31" s="104">
        <v>27.699999999999999</v>
      </c>
      <c r="K31" s="104">
        <v>0.40000000000000002</v>
      </c>
      <c r="L31" s="107">
        <v>0.073999999999999996</v>
      </c>
      <c r="M31" s="107">
        <v>0.0030000000000000001</v>
      </c>
      <c r="N31" s="107">
        <v>0.016</v>
      </c>
      <c r="O31" s="107">
        <v>0.002</v>
      </c>
      <c r="P31" s="102">
        <v>0</v>
      </c>
      <c r="Q31" s="102">
        <v>0.17999999999999999</v>
      </c>
      <c r="R31" s="115">
        <v>0.048400000000000006</v>
      </c>
      <c r="S31" s="115">
        <v>0.0019</v>
      </c>
      <c r="T31" s="108">
        <f>7.870151E-18*T$3</f>
        <v>0.0007870151000000001</v>
      </c>
      <c r="U31" s="109">
        <f t="shared" si="76"/>
        <v>1.5991010458985215</v>
      </c>
      <c r="V31" s="106">
        <f>0.6554975*V$3</f>
        <v>65549.75</v>
      </c>
      <c r="W31" s="106">
        <f>0.0357148*W$3</f>
        <v>3571.48</v>
      </c>
      <c r="X31" s="109">
        <v>0</v>
      </c>
      <c r="Y31" s="110">
        <v>0</v>
      </c>
      <c r="Z31" s="110">
        <f>2.425955*Z$3</f>
        <v>2.4259550000000001</v>
      </c>
      <c r="AA31" s="111">
        <v>0</v>
      </c>
      <c r="AB31" s="111">
        <v>4</v>
      </c>
      <c r="AC31" s="110">
        <f>0.2176866*AC$3</f>
        <v>0.21768660000000001</v>
      </c>
      <c r="AD31" s="112">
        <f>0.0371856*AD$3</f>
        <v>0.037185599999999999</v>
      </c>
      <c r="AE31" s="110">
        <f>374.2465*AE$3</f>
        <v>374.24650000000003</v>
      </c>
      <c r="AF31" s="110">
        <f>15.02428*AF$3</f>
        <v>15.024279999999999</v>
      </c>
      <c r="AG31" s="110">
        <f>180.1762*AG$3</f>
        <v>180.17619999999999</v>
      </c>
      <c r="AH31" s="113">
        <f>11.51676*AH$3</f>
        <v>11.51676</v>
      </c>
      <c r="AI31" s="109">
        <f>48.20273*AI$3</f>
        <v>48.202730000000003</v>
      </c>
      <c r="AJ31" s="114">
        <v>302</v>
      </c>
      <c r="AK31" s="114">
        <v>18</v>
      </c>
      <c r="AL31" s="108">
        <f>17.83347*AL$3</f>
        <v>17.833469999999998</v>
      </c>
      <c r="AM31" s="108">
        <v>0</v>
      </c>
      <c r="AN31" s="102"/>
      <c r="AO31" s="102"/>
      <c r="AP31" s="112">
        <f>0.0017529*AP$3</f>
        <v>0.0017528999999999999</v>
      </c>
      <c r="AQ31" s="102">
        <f>4.202548*AQ$3</f>
        <v>4.2025480000000002</v>
      </c>
      <c r="AR31" s="112">
        <f>0.0026753*AR$3</f>
        <v>0.0026752999999999998</v>
      </c>
      <c r="AS31" s="102">
        <f>4.013562*AS$3</f>
        <v>4.0135620000000003</v>
      </c>
      <c r="AT31" s="110">
        <f>0.1262216*AT$3</f>
        <v>0.12622159999999999</v>
      </c>
    </row>
    <row r="32" s="102" customFormat="1" ht="12">
      <c r="A32" s="103" t="s">
        <v>852</v>
      </c>
      <c r="B32" s="102" t="s">
        <v>283</v>
      </c>
      <c r="C32" s="102" t="s">
        <v>833</v>
      </c>
      <c r="E32" s="104">
        <v>0</v>
      </c>
      <c r="F32" s="105">
        <v>0</v>
      </c>
      <c r="G32" s="105" t="s">
        <v>834</v>
      </c>
      <c r="H32" s="106">
        <f t="shared" si="77"/>
        <v>1.0129999999999999</v>
      </c>
      <c r="I32" s="106">
        <f t="shared" si="78"/>
        <v>0.004052</v>
      </c>
      <c r="J32" s="104">
        <v>22.5</v>
      </c>
      <c r="K32" s="104">
        <v>0.40000000000000002</v>
      </c>
      <c r="L32" s="107">
        <v>0.080000000000000002</v>
      </c>
      <c r="M32" s="107">
        <v>0.0030000000000000001</v>
      </c>
      <c r="N32" s="107">
        <v>0.010999999999999999</v>
      </c>
      <c r="O32" s="107">
        <v>0.002</v>
      </c>
      <c r="P32" s="102">
        <v>0.41999999999999998</v>
      </c>
      <c r="Q32" s="102">
        <v>0.16</v>
      </c>
      <c r="R32" s="107">
        <v>0.021999999999999999</v>
      </c>
      <c r="S32" s="107">
        <v>0.002</v>
      </c>
      <c r="T32" s="108">
        <f>8.612046E-18*T$3</f>
        <v>0.00086120460000000006</v>
      </c>
      <c r="U32" s="109">
        <f t="shared" si="76"/>
        <v>1.7287578874578611</v>
      </c>
      <c r="V32" s="106">
        <f>0.2754423*V$3</f>
        <v>27544.229999999996</v>
      </c>
      <c r="W32" s="106">
        <f>0.0275228*W$3</f>
        <v>2752.2800000000002</v>
      </c>
      <c r="X32" s="109">
        <f>0.5183572*X$3</f>
        <v>0.51835719999999996</v>
      </c>
      <c r="Y32" s="110">
        <f>5.229945*Y$3</f>
        <v>5.2299449999999998</v>
      </c>
      <c r="Z32" s="110">
        <f>1.989292*Z$3</f>
        <v>1.9892920000000001</v>
      </c>
      <c r="AA32" s="111">
        <v>9</v>
      </c>
      <c r="AB32" s="111">
        <v>3</v>
      </c>
      <c r="AC32" s="110">
        <f>0.1383275*AC$3</f>
        <v>0.13832749999999999</v>
      </c>
      <c r="AD32" s="112">
        <f>0.0298139*AD$3</f>
        <v>0.029813900000000001</v>
      </c>
      <c r="AE32" s="110">
        <f>281.0431*AE$3</f>
        <v>281.04309999999998</v>
      </c>
      <c r="AF32" s="110">
        <f>11.63513*AF$3</f>
        <v>11.63513</v>
      </c>
      <c r="AG32" s="110">
        <f>200.7637*AG$3</f>
        <v>200.7637</v>
      </c>
      <c r="AH32" s="113">
        <f>11.87646*AH$3</f>
        <v>11.87646</v>
      </c>
      <c r="AI32" s="109">
        <f>71.18849*AI$3</f>
        <v>71.188490000000002</v>
      </c>
      <c r="AJ32" s="114">
        <v>334</v>
      </c>
      <c r="AK32" s="114">
        <v>18</v>
      </c>
      <c r="AL32" s="108">
        <f>18.07763*AL$3</f>
        <v>18.077629999999999</v>
      </c>
      <c r="AM32" s="108">
        <v>0</v>
      </c>
      <c r="AN32" s="102"/>
      <c r="AO32" s="102"/>
      <c r="AP32" s="112">
        <f>0.000975*AP$3</f>
        <v>0.00097499999999999996</v>
      </c>
      <c r="AQ32" s="102">
        <f>9.527705*AQ$3</f>
        <v>9.5277049999999992</v>
      </c>
      <c r="AR32" s="112">
        <f>0.0035459*AR$3</f>
        <v>0.0035458999999999998</v>
      </c>
      <c r="AS32" s="102">
        <f>4.153621*AS$3</f>
        <v>4.1536210000000002</v>
      </c>
      <c r="AT32" s="110">
        <f>0.0917988*AT$3</f>
        <v>0.0917988</v>
      </c>
    </row>
    <row r="33" s="102" customFormat="1" ht="12">
      <c r="A33" s="103" t="s">
        <v>853</v>
      </c>
      <c r="B33" s="102" t="s">
        <v>283</v>
      </c>
      <c r="C33" s="102" t="s">
        <v>833</v>
      </c>
      <c r="E33" s="104">
        <v>0</v>
      </c>
      <c r="F33" s="105">
        <v>0</v>
      </c>
      <c r="G33" s="105" t="s">
        <v>834</v>
      </c>
      <c r="H33" s="106">
        <f t="shared" si="77"/>
        <v>1.0129999999999999</v>
      </c>
      <c r="I33" s="106">
        <f t="shared" si="78"/>
        <v>0.004052</v>
      </c>
      <c r="J33" s="104">
        <v>45.299999999999997</v>
      </c>
      <c r="K33" s="104">
        <v>0.40000000000000002</v>
      </c>
      <c r="L33" s="107">
        <v>0.14100000000000001</v>
      </c>
      <c r="M33" s="107">
        <v>0.0030000000000000001</v>
      </c>
      <c r="N33" s="107">
        <v>0.018000000000000002</v>
      </c>
      <c r="O33" s="107">
        <v>0.002</v>
      </c>
      <c r="P33" s="102">
        <v>0</v>
      </c>
      <c r="Q33" s="102">
        <v>0.19</v>
      </c>
      <c r="R33" s="107">
        <v>0.058000000000000003</v>
      </c>
      <c r="S33" s="107">
        <v>0.002</v>
      </c>
      <c r="T33" s="108">
        <f>1.499931E-17*T$3</f>
        <v>0.0014999310000000001</v>
      </c>
      <c r="U33" s="109">
        <f t="shared" si="76"/>
        <v>3.0469357766444807</v>
      </c>
      <c r="V33" s="106">
        <f>0.4133267*V$3</f>
        <v>41332.669999999998</v>
      </c>
      <c r="W33" s="106">
        <f>0.016654*W$3</f>
        <v>1665.3999999999999</v>
      </c>
      <c r="X33" s="109">
        <v>0</v>
      </c>
      <c r="Y33" s="110">
        <v>0</v>
      </c>
      <c r="Z33" s="110">
        <f>1.357558*Z$3</f>
        <v>1.357558</v>
      </c>
      <c r="AA33" s="111">
        <v>0</v>
      </c>
      <c r="AB33" s="111">
        <v>2</v>
      </c>
      <c r="AC33" s="110">
        <f>0.1256176*AC$3</f>
        <v>0.1256176</v>
      </c>
      <c r="AD33" s="112">
        <f>0.0163286*AD$3</f>
        <v>0.016328599999999999</v>
      </c>
      <c r="AE33" s="110">
        <f>321.5029*AE$3</f>
        <v>321.50290000000001</v>
      </c>
      <c r="AF33" s="110">
        <f>6.902281*AF$3</f>
        <v>6.9022810000000003</v>
      </c>
      <c r="AG33" s="110">
        <f>199.2053*AG$3</f>
        <v>199.20529999999999</v>
      </c>
      <c r="AH33" s="113">
        <f>6.487463*AH$3</f>
        <v>6.487463</v>
      </c>
      <c r="AI33" s="109">
        <f>61.99148*AI$3</f>
        <v>61.991480000000003</v>
      </c>
      <c r="AJ33" s="111">
        <v>332</v>
      </c>
      <c r="AK33" s="111">
        <v>10</v>
      </c>
      <c r="AL33" s="108">
        <f>9.939407*AL$3</f>
        <v>9.9394069999999992</v>
      </c>
      <c r="AM33" s="108">
        <v>0</v>
      </c>
      <c r="AN33" s="102"/>
      <c r="AO33" s="102"/>
      <c r="AP33" s="112">
        <f>0.0012862*AP$3</f>
        <v>0.0012861999999999999</v>
      </c>
      <c r="AQ33" s="102">
        <f>3.64779*AQ$3</f>
        <v>3.6477900000000001</v>
      </c>
      <c r="AR33" s="112">
        <f>0.0031119*AR$3</f>
        <v>0.0031118999999999999</v>
      </c>
      <c r="AS33" s="102">
        <f>2.147947*AS$3</f>
        <v>2.1479469999999998</v>
      </c>
      <c r="AT33" s="110">
        <f>0.1162425*AT$3</f>
        <v>0.1162425</v>
      </c>
    </row>
    <row r="34" s="102" customFormat="1" ht="12">
      <c r="A34" s="103" t="s">
        <v>854</v>
      </c>
      <c r="B34" s="102" t="s">
        <v>283</v>
      </c>
      <c r="C34" s="102" t="s">
        <v>833</v>
      </c>
      <c r="E34" s="104">
        <v>0</v>
      </c>
      <c r="F34" s="105">
        <v>0</v>
      </c>
      <c r="G34" s="105" t="s">
        <v>834</v>
      </c>
      <c r="H34" s="106">
        <f t="shared" si="77"/>
        <v>1.0129999999999999</v>
      </c>
      <c r="I34" s="106">
        <f t="shared" si="78"/>
        <v>0.004052</v>
      </c>
      <c r="J34" s="104">
        <v>50.899999999999999</v>
      </c>
      <c r="K34" s="104">
        <v>0.29999999999999999</v>
      </c>
      <c r="L34" s="107">
        <v>0.068000000000000005</v>
      </c>
      <c r="M34" s="107">
        <v>0.0030000000000000001</v>
      </c>
      <c r="N34" s="107">
        <v>0.024</v>
      </c>
      <c r="O34" s="107">
        <v>0.002</v>
      </c>
      <c r="P34" s="104">
        <v>0.20000000000000001</v>
      </c>
      <c r="Q34" s="104">
        <v>0.29999999999999999</v>
      </c>
      <c r="R34" s="107">
        <v>0.10400000000000001</v>
      </c>
      <c r="S34" s="107">
        <v>0.002</v>
      </c>
      <c r="T34" s="108">
        <f>7.94603E-18*T$3</f>
        <v>0.00079460299999999995</v>
      </c>
      <c r="U34" s="109">
        <f t="shared" si="76"/>
        <v>1.4694442043391822</v>
      </c>
      <c r="V34" s="106">
        <f>1.527192*V$3</f>
        <v>152719.20000000001</v>
      </c>
      <c r="W34" s="106">
        <f>0.0782716*W$3</f>
        <v>7827.1599999999999</v>
      </c>
      <c r="X34" s="109">
        <f>0.0625005*X$3</f>
        <v>0.062500500000000001</v>
      </c>
      <c r="Y34" s="110">
        <f>3.496348*Y$3</f>
        <v>3.4963479999999998</v>
      </c>
      <c r="Z34" s="110">
        <f>3.919516*Z$3</f>
        <v>3.9195160000000002</v>
      </c>
      <c r="AA34" s="111">
        <v>6</v>
      </c>
      <c r="AB34" s="111">
        <v>7</v>
      </c>
      <c r="AC34" s="110">
        <f>0.3529603*AC$3</f>
        <v>0.3529603</v>
      </c>
      <c r="AD34" s="112">
        <f>0.037379*AD$3</f>
        <v>0.037379000000000003</v>
      </c>
      <c r="AE34" s="110">
        <f>750.3609*AE$3</f>
        <v>750.36090000000002</v>
      </c>
      <c r="AF34" s="110">
        <f>35.41928*AF$3</f>
        <v>35.419280000000001</v>
      </c>
      <c r="AG34" s="110">
        <f>300.0489*AG$3</f>
        <v>300.0489</v>
      </c>
      <c r="AH34" s="113">
        <f>17.93791*AH$3</f>
        <v>17.937909999999999</v>
      </c>
      <c r="AI34" s="109">
        <f>39.89474*AI$3</f>
        <v>39.894739999999999</v>
      </c>
      <c r="AJ34" s="114">
        <v>480</v>
      </c>
      <c r="AK34" s="114">
        <v>20</v>
      </c>
      <c r="AL34" s="108">
        <f>25.1968*AL$3</f>
        <v>25.1968</v>
      </c>
      <c r="AM34" s="108">
        <v>0</v>
      </c>
      <c r="AN34" s="102"/>
      <c r="AO34" s="102"/>
      <c r="AP34" s="112">
        <f>0.002034*AP$3</f>
        <v>0.0020339999999999998</v>
      </c>
      <c r="AQ34" s="102">
        <f>2.265705*AQ$3</f>
        <v>2.2657050000000001</v>
      </c>
      <c r="AR34" s="112">
        <f>0.0013296*AR$3</f>
        <v>0.0013296</v>
      </c>
      <c r="AS34" s="102">
        <f>4.738228*AS$3</f>
        <v>4.7382280000000003</v>
      </c>
      <c r="AT34" s="110">
        <f>0.0612815*AT$3</f>
        <v>0.061281500000000003</v>
      </c>
    </row>
    <row r="35" s="102" customFormat="1" ht="12">
      <c r="A35" s="103" t="s">
        <v>855</v>
      </c>
      <c r="B35" s="102" t="s">
        <v>283</v>
      </c>
      <c r="C35" s="102" t="s">
        <v>833</v>
      </c>
      <c r="E35" s="104">
        <v>0</v>
      </c>
      <c r="F35" s="105">
        <v>0</v>
      </c>
      <c r="G35" s="105" t="s">
        <v>834</v>
      </c>
      <c r="H35" s="106">
        <f t="shared" si="77"/>
        <v>1.0129999999999999</v>
      </c>
      <c r="I35" s="106">
        <f t="shared" si="78"/>
        <v>0.004052</v>
      </c>
      <c r="J35" s="104">
        <v>35.399999999999999</v>
      </c>
      <c r="K35" s="104">
        <v>0.29999999999999999</v>
      </c>
      <c r="L35" s="107">
        <v>0.071000000000000008</v>
      </c>
      <c r="M35" s="107">
        <v>0.002</v>
      </c>
      <c r="N35" s="107">
        <v>0.014999999999999999</v>
      </c>
      <c r="O35" s="107">
        <v>0.002</v>
      </c>
      <c r="P35" s="102">
        <v>0.040000000000000001</v>
      </c>
      <c r="Q35" s="102">
        <v>0.17000000000000001</v>
      </c>
      <c r="R35" s="107">
        <v>0.071000000000000008</v>
      </c>
      <c r="S35" s="107">
        <v>0.002</v>
      </c>
      <c r="T35" s="108">
        <f>7.545816E-18*T$3</f>
        <v>0.00075458160000000003</v>
      </c>
      <c r="U35" s="109">
        <f t="shared" si="76"/>
        <v>1.5342726251188519</v>
      </c>
      <c r="V35" s="106">
        <f>1.006526*V$3</f>
        <v>100652.60000000001</v>
      </c>
      <c r="W35" s="106">
        <f>0.0452402*W$3</f>
        <v>4524.0200000000004</v>
      </c>
      <c r="X35" s="109">
        <f>0.015277*X$3</f>
        <v>0.015277000000000001</v>
      </c>
      <c r="Y35" s="110">
        <f>0.5632503*Y$3</f>
        <v>0.56325029999999998</v>
      </c>
      <c r="Z35" s="110">
        <f>2.498851*Z$3</f>
        <v>2.4988510000000002</v>
      </c>
      <c r="AA35" s="111">
        <v>1</v>
      </c>
      <c r="AB35" s="111">
        <v>4</v>
      </c>
      <c r="AC35" s="110">
        <f>0.2118718*AC$3</f>
        <v>0.2118718</v>
      </c>
      <c r="AD35" s="112">
        <f>0.0318161*AD$3</f>
        <v>0.0318161</v>
      </c>
      <c r="AE35" s="110">
        <f>499.0557*AE$3</f>
        <v>499.0557</v>
      </c>
      <c r="AF35" s="110">
        <f>17.75098*AF$3</f>
        <v>17.750979999999998</v>
      </c>
      <c r="AG35" s="110">
        <f>201.743*AG$3</f>
        <v>201.74299999999999</v>
      </c>
      <c r="AH35" s="113">
        <f>11.88004*AH$3</f>
        <v>11.880039999999999</v>
      </c>
      <c r="AI35" s="109">
        <f>40.41025*AI$3</f>
        <v>40.410249999999998</v>
      </c>
      <c r="AJ35" s="114">
        <v>335</v>
      </c>
      <c r="AK35" s="114">
        <v>18</v>
      </c>
      <c r="AL35" s="108">
        <f>18.06857*AL$3</f>
        <v>18.068570000000001</v>
      </c>
      <c r="AM35" s="108">
        <v>0</v>
      </c>
      <c r="AN35" s="102"/>
      <c r="AO35" s="102"/>
      <c r="AP35" s="112">
        <f>0.0020166*AP$3</f>
        <v>0.0020165999999999999</v>
      </c>
      <c r="AQ35" s="102">
        <f>3.017506*AQ$3</f>
        <v>3.017506</v>
      </c>
      <c r="AR35" s="112">
        <f>0.0020031*AR$3</f>
        <v>0.0020030999999999998</v>
      </c>
      <c r="AS35" s="102">
        <f>3.562072*AS$3</f>
        <v>3.5620720000000001</v>
      </c>
      <c r="AT35" s="110">
        <f>0.0799038*AT$3</f>
        <v>0.079903799999999997</v>
      </c>
    </row>
    <row r="36" s="102" customFormat="1" ht="12">
      <c r="A36" s="103" t="s">
        <v>856</v>
      </c>
      <c r="B36" s="102" t="s">
        <v>283</v>
      </c>
      <c r="C36" s="102" t="s">
        <v>833</v>
      </c>
      <c r="E36" s="104">
        <v>0</v>
      </c>
      <c r="F36" s="105">
        <v>0</v>
      </c>
      <c r="G36" s="105" t="s">
        <v>834</v>
      </c>
      <c r="H36" s="106">
        <f t="shared" si="77"/>
        <v>1.0129999999999999</v>
      </c>
      <c r="I36" s="106">
        <f t="shared" si="78"/>
        <v>0.004052</v>
      </c>
      <c r="J36" s="104">
        <v>25.399999999999999</v>
      </c>
      <c r="K36" s="104">
        <v>0.29999999999999999</v>
      </c>
      <c r="L36" s="107">
        <v>0.078</v>
      </c>
      <c r="M36" s="107">
        <v>0.0030000000000000001</v>
      </c>
      <c r="N36" s="107">
        <v>0.01</v>
      </c>
      <c r="O36" s="107">
        <v>0.002</v>
      </c>
      <c r="P36" s="102">
        <v>0.14999999999999999</v>
      </c>
      <c r="Q36" s="102">
        <v>0.19</v>
      </c>
      <c r="R36" s="107">
        <v>0.036000000000000004</v>
      </c>
      <c r="S36" s="107">
        <v>0.002</v>
      </c>
      <c r="T36" s="108">
        <f>8.256978E-18*T$3</f>
        <v>0.00082569779999999997</v>
      </c>
      <c r="U36" s="109">
        <f t="shared" si="76"/>
        <v>1.6855389402714145</v>
      </c>
      <c r="V36" s="106">
        <f>0.458615*V$3</f>
        <v>45861.5</v>
      </c>
      <c r="W36" s="106">
        <f>0.0317583*W$3</f>
        <v>3175.8300000000004</v>
      </c>
      <c r="X36" s="109">
        <f>0.1144974*X$3</f>
        <v>0.1144974</v>
      </c>
      <c r="Y36" s="110">
        <f>1.923451*Y$3</f>
        <v>1.923451</v>
      </c>
      <c r="Z36" s="110">
        <f>2.440861*Z$3</f>
        <v>2.4408609999999999</v>
      </c>
      <c r="AA36" s="111">
        <v>3</v>
      </c>
      <c r="AB36" s="111">
        <v>4</v>
      </c>
      <c r="AC36" s="110">
        <f>0.1350667*AC$3</f>
        <v>0.13506670000000001</v>
      </c>
      <c r="AD36" s="112">
        <f>0.0304615*AD$3</f>
        <v>0.030461499999999999</v>
      </c>
      <c r="AE36" s="110">
        <f>327.3848*AE$3</f>
        <v>327.38479999999998</v>
      </c>
      <c r="AF36" s="110">
        <f>12.45539*AF$3</f>
        <v>12.45539</v>
      </c>
      <c r="AG36" s="110">
        <f>192.2596*AG$3</f>
        <v>192.25960000000001</v>
      </c>
      <c r="AH36" s="113">
        <f>11.53678*AH$3</f>
        <v>11.53678</v>
      </c>
      <c r="AI36" s="109">
        <f>58.65181*AI$3</f>
        <v>58.651809999999998</v>
      </c>
      <c r="AJ36" s="114">
        <v>321</v>
      </c>
      <c r="AK36" s="114">
        <v>18</v>
      </c>
      <c r="AL36" s="108">
        <f>17.68608*AL$3</f>
        <v>17.68608</v>
      </c>
      <c r="AM36" s="108">
        <v>0</v>
      </c>
      <c r="AN36" s="102"/>
      <c r="AO36" s="102"/>
      <c r="AP36" s="112">
        <f>0.0013993*AP$3</f>
        <v>0.0013993</v>
      </c>
      <c r="AQ36" s="102">
        <f>6.13063*AQ$3</f>
        <v>6.13063</v>
      </c>
      <c r="AR36" s="112">
        <f>0.0030507*AR$3</f>
        <v>0.0030506999999999999</v>
      </c>
      <c r="AS36" s="102">
        <f>3.81223*AS$3</f>
        <v>3.81223</v>
      </c>
      <c r="AT36" s="110">
        <f>0.0888824*AT$3</f>
        <v>0.0888824</v>
      </c>
    </row>
    <row r="37" s="102" customFormat="1" ht="12">
      <c r="A37" s="103" t="s">
        <v>857</v>
      </c>
      <c r="B37" s="102" t="s">
        <v>283</v>
      </c>
      <c r="C37" s="102" t="s">
        <v>833</v>
      </c>
      <c r="E37" s="104">
        <v>0</v>
      </c>
      <c r="F37" s="105">
        <v>0</v>
      </c>
      <c r="G37" s="105" t="s">
        <v>834</v>
      </c>
      <c r="H37" s="106">
        <f t="shared" si="77"/>
        <v>1.0129999999999999</v>
      </c>
      <c r="I37" s="106">
        <f t="shared" si="78"/>
        <v>0.004052</v>
      </c>
      <c r="J37" s="104">
        <v>22.800000000000001</v>
      </c>
      <c r="K37" s="104">
        <v>0.29999999999999999</v>
      </c>
      <c r="L37" s="107">
        <v>0.114</v>
      </c>
      <c r="M37" s="107">
        <v>0.0030000000000000001</v>
      </c>
      <c r="N37" s="107">
        <v>0.0030000000000000001</v>
      </c>
      <c r="O37" s="107">
        <v>0.002</v>
      </c>
      <c r="P37" s="102">
        <v>0.040000000000000001</v>
      </c>
      <c r="Q37" s="102">
        <v>0.19</v>
      </c>
      <c r="R37" s="115">
        <v>0.009300000000000001</v>
      </c>
      <c r="S37" s="115">
        <v>0.0019</v>
      </c>
      <c r="T37" s="108">
        <f>1.280342E-17*T$3</f>
        <v>0.0012803420000000001</v>
      </c>
      <c r="U37" s="109">
        <f t="shared" si="76"/>
        <v>2.4634799896274524</v>
      </c>
      <c r="V37" s="106">
        <f>0.0814152*V$3</f>
        <v>8141.5199999999995</v>
      </c>
      <c r="W37" s="106">
        <f>0.0170702*W$3</f>
        <v>1707.02</v>
      </c>
      <c r="X37" s="109">
        <f>0.111097*X$3</f>
        <v>0.111097</v>
      </c>
      <c r="Y37" s="110">
        <f>0.3313184*Y$3</f>
        <v>0.33131840000000001</v>
      </c>
      <c r="Z37" s="110">
        <f>1.721111*Z$3</f>
        <v>1.7211110000000001</v>
      </c>
      <c r="AA37" s="111">
        <v>0</v>
      </c>
      <c r="AB37" s="111">
        <v>3</v>
      </c>
      <c r="AC37" s="110">
        <f>0.0269847*AC$3</f>
        <v>0.0269847</v>
      </c>
      <c r="AD37" s="112">
        <f>0.0199451*AD$3</f>
        <v>0.0199451</v>
      </c>
      <c r="AE37" s="110">
        <f>200.2573*AE$3</f>
        <v>200.25729999999999</v>
      </c>
      <c r="AF37" s="110">
        <f>6.844834*AF$3</f>
        <v>6.8448339999999996</v>
      </c>
      <c r="AG37" s="110">
        <f>176.2595*AG$3</f>
        <v>176.2595</v>
      </c>
      <c r="AH37" s="113">
        <f>7.972195*AH$3</f>
        <v>7.9721950000000001</v>
      </c>
      <c r="AI37" s="109">
        <f>87.9994*AI$3</f>
        <v>87.999399999999994</v>
      </c>
      <c r="AJ37" s="114">
        <v>296</v>
      </c>
      <c r="AK37" s="114">
        <v>12</v>
      </c>
      <c r="AL37" s="108">
        <f>12.4104*AL$3</f>
        <v>12.410399999999999</v>
      </c>
      <c r="AM37" s="108">
        <v>0</v>
      </c>
      <c r="AN37" s="102"/>
      <c r="AO37" s="102"/>
      <c r="AP37" s="112">
        <f>0.0004061*AP$3</f>
        <v>0.0004061</v>
      </c>
      <c r="AQ37" s="102">
        <f>20.83689*AQ$3</f>
        <v>20.83689</v>
      </c>
      <c r="AR37" s="112">
        <f>0.0049926*AR$3</f>
        <v>0.0049925999999999998</v>
      </c>
      <c r="AS37" s="102">
        <f>3.420611*AS$3</f>
        <v>3.4206110000000001</v>
      </c>
      <c r="AT37" s="110">
        <f>0.0357084*AT$3</f>
        <v>0.035708400000000001</v>
      </c>
    </row>
    <row r="38" s="102" customFormat="1" ht="12">
      <c r="A38" s="103" t="s">
        <v>858</v>
      </c>
      <c r="B38" s="102" t="s">
        <v>283</v>
      </c>
      <c r="C38" s="102" t="s">
        <v>833</v>
      </c>
      <c r="E38" s="104">
        <v>0</v>
      </c>
      <c r="F38" s="105">
        <v>0</v>
      </c>
      <c r="G38" s="105" t="s">
        <v>834</v>
      </c>
      <c r="H38" s="106">
        <f t="shared" si="77"/>
        <v>1.0129999999999999</v>
      </c>
      <c r="I38" s="106">
        <f t="shared" si="78"/>
        <v>0.004052</v>
      </c>
      <c r="J38" s="104">
        <v>29.100000000000001</v>
      </c>
      <c r="K38" s="104">
        <v>0.29999999999999999</v>
      </c>
      <c r="L38" s="115">
        <v>0.0315</v>
      </c>
      <c r="M38" s="115">
        <v>0.0016000000000000001</v>
      </c>
      <c r="N38" s="107">
        <v>0.014</v>
      </c>
      <c r="O38" s="107">
        <v>0.002</v>
      </c>
      <c r="P38" s="102">
        <v>0</v>
      </c>
      <c r="Q38" s="102">
        <v>0.16</v>
      </c>
      <c r="R38" s="115">
        <v>0.077200000000000005</v>
      </c>
      <c r="S38" s="115">
        <v>0.002</v>
      </c>
      <c r="T38" s="108">
        <f>3.352259E-18*T$3</f>
        <v>0.00033522590000000001</v>
      </c>
      <c r="U38" s="109">
        <f t="shared" si="76"/>
        <v>0.68069841818653276</v>
      </c>
      <c r="V38" s="106">
        <f>2.451113*V$3</f>
        <v>245111.29999999999</v>
      </c>
      <c r="W38" s="106">
        <f>0.1469648*W$3</f>
        <v>14696.480000000001</v>
      </c>
      <c r="X38" s="109">
        <v>0</v>
      </c>
      <c r="Y38" s="110">
        <v>0</v>
      </c>
      <c r="Z38" s="110">
        <f>5.200499*Z$3</f>
        <v>5.2004989999999998</v>
      </c>
      <c r="AA38" s="111">
        <v>0</v>
      </c>
      <c r="AB38" s="111">
        <v>9</v>
      </c>
      <c r="AC38" s="110">
        <f>0.4475725*AC$3</f>
        <v>0.44757249999999998</v>
      </c>
      <c r="AD38" s="112">
        <f>0.0869292*AD$3</f>
        <v>0.086929199999999998</v>
      </c>
      <c r="AE38" s="110">
        <f>923.2421*AE$3</f>
        <v>923.24210000000005</v>
      </c>
      <c r="AF38" s="110">
        <f>51.03395*AF$3</f>
        <v>51.033949999999997</v>
      </c>
      <c r="AG38" s="110">
        <f>195.5941*AG$3</f>
        <v>195.5941</v>
      </c>
      <c r="AH38" s="113">
        <f>23.56058*AH$3</f>
        <v>23.560580000000002</v>
      </c>
      <c r="AI38" s="109">
        <f>21.40875*AI$3</f>
        <v>21.408750000000001</v>
      </c>
      <c r="AJ38" s="114">
        <v>330</v>
      </c>
      <c r="AK38" s="114">
        <v>40</v>
      </c>
      <c r="AL38" s="108">
        <f>35.95699*AL$3</f>
        <v>35.956989999999998</v>
      </c>
      <c r="AM38" s="108">
        <v>0</v>
      </c>
      <c r="AN38" s="102"/>
      <c r="AO38" s="102"/>
      <c r="AP38" s="112">
        <f>0.0026596*AP$3</f>
        <v>0.0026595999999999998</v>
      </c>
      <c r="AQ38" s="102">
        <f>2.805201*AQ$3</f>
        <v>2.8052009999999998</v>
      </c>
      <c r="AR38" s="112">
        <f>0.0010945*AR$3</f>
        <v>0.0010945</v>
      </c>
      <c r="AS38" s="102">
        <f>5.48275*AS$3</f>
        <v>5.4827500000000002</v>
      </c>
      <c r="AT38" s="110">
        <f>0.0867675*AT$3</f>
        <v>0.086767499999999997</v>
      </c>
    </row>
    <row r="39" s="102" customFormat="1" ht="12">
      <c r="A39" s="103" t="s">
        <v>859</v>
      </c>
      <c r="B39" s="102" t="s">
        <v>283</v>
      </c>
      <c r="C39" s="102" t="s">
        <v>833</v>
      </c>
      <c r="E39" s="104">
        <v>0</v>
      </c>
      <c r="F39" s="105">
        <v>0</v>
      </c>
      <c r="G39" s="105" t="s">
        <v>834</v>
      </c>
      <c r="H39" s="106">
        <f t="shared" si="77"/>
        <v>1.0129999999999999</v>
      </c>
      <c r="I39" s="106">
        <f t="shared" si="78"/>
        <v>0.004052</v>
      </c>
      <c r="J39" s="104">
        <v>14.4</v>
      </c>
      <c r="K39" s="104">
        <v>0.20000000000000001</v>
      </c>
      <c r="L39" s="115">
        <v>0.031</v>
      </c>
      <c r="M39" s="115">
        <v>0.0018000000000000002</v>
      </c>
      <c r="N39" s="107">
        <v>0</v>
      </c>
      <c r="O39" s="107">
        <v>0.002</v>
      </c>
      <c r="P39" s="104">
        <v>0</v>
      </c>
      <c r="Q39" s="104">
        <v>0.20000000000000001</v>
      </c>
      <c r="R39" s="107">
        <v>0.016</v>
      </c>
      <c r="S39" s="107">
        <v>0.002</v>
      </c>
      <c r="T39" s="108">
        <f>3.298439E-18*T$3</f>
        <v>0.0003298439</v>
      </c>
      <c r="U39" s="109">
        <f t="shared" si="76"/>
        <v>0.66989368138992123</v>
      </c>
      <c r="V39" s="106">
        <f>0.5246503*V$3</f>
        <v>52465.029999999999</v>
      </c>
      <c r="W39" s="106">
        <f>0.073593*W$3</f>
        <v>7359.3000000000002</v>
      </c>
      <c r="X39" s="109">
        <v>0</v>
      </c>
      <c r="Y39" s="110">
        <v>0</v>
      </c>
      <c r="Z39" s="110">
        <f>7.370134*Z$3</f>
        <v>7.3701340000000002</v>
      </c>
      <c r="AA39" s="114">
        <v>0</v>
      </c>
      <c r="AB39" s="114">
        <v>12</v>
      </c>
      <c r="AC39" s="110">
        <v>0</v>
      </c>
      <c r="AD39" s="112">
        <f>0.0803999*AD$3</f>
        <v>0.080399899999999996</v>
      </c>
      <c r="AE39" s="110">
        <f>463.3379*AE$3</f>
        <v>463.33789999999999</v>
      </c>
      <c r="AF39" s="110">
        <f>29.70931*AF$3</f>
        <v>29.709309999999999</v>
      </c>
      <c r="AG39" s="110">
        <f>307.7997*AG$3</f>
        <v>307.79969999999997</v>
      </c>
      <c r="AH39" s="113">
        <f>28.56002*AH$3</f>
        <v>28.560020000000002</v>
      </c>
      <c r="AI39" s="109">
        <f>66.50886*AI$3</f>
        <v>66.508859999999999</v>
      </c>
      <c r="AJ39" s="114">
        <v>490</v>
      </c>
      <c r="AK39" s="114">
        <v>40</v>
      </c>
      <c r="AL39" s="108">
        <f>39.82523*AL$3</f>
        <v>39.825229999999998</v>
      </c>
      <c r="AM39" s="108">
        <v>0</v>
      </c>
      <c r="AN39" s="102"/>
      <c r="AO39" s="102"/>
      <c r="AP39" s="112">
        <f>0.0011334*AP$3</f>
        <v>0.0011333999999999999</v>
      </c>
      <c r="AQ39" s="102">
        <f>12.74518*AQ$3</f>
        <v>12.74518</v>
      </c>
      <c r="AR39" s="112">
        <f>0.0021608*AR$3</f>
        <v>0.0021608</v>
      </c>
      <c r="AS39" s="102">
        <f>6.423875*AS$3</f>
        <v>6.4238749999999998</v>
      </c>
      <c r="AT39" s="110">
        <f>0.0433879*AT$3</f>
        <v>0.0433879</v>
      </c>
    </row>
    <row r="40" s="102" customFormat="1" ht="12">
      <c r="A40" s="103" t="s">
        <v>860</v>
      </c>
      <c r="B40" s="102" t="s">
        <v>283</v>
      </c>
      <c r="C40" s="102" t="s">
        <v>833</v>
      </c>
      <c r="E40" s="104">
        <v>0</v>
      </c>
      <c r="F40" s="105">
        <v>0</v>
      </c>
      <c r="G40" s="105" t="s">
        <v>834</v>
      </c>
      <c r="H40" s="106">
        <f t="shared" si="77"/>
        <v>1.0129999999999999</v>
      </c>
      <c r="I40" s="106">
        <f t="shared" si="78"/>
        <v>0.004052</v>
      </c>
      <c r="J40" s="104">
        <v>36</v>
      </c>
      <c r="K40" s="104">
        <v>0.40000000000000002</v>
      </c>
      <c r="L40" s="107">
        <v>0.13300000000000001</v>
      </c>
      <c r="M40" s="107">
        <v>0.0030000000000000001</v>
      </c>
      <c r="N40" s="107">
        <v>0.0050000000000000001</v>
      </c>
      <c r="O40" s="107">
        <v>0.0030000000000000001</v>
      </c>
      <c r="P40" s="102">
        <v>0</v>
      </c>
      <c r="Q40" s="102">
        <v>0.16</v>
      </c>
      <c r="R40" s="115">
        <v>0.035799999999999998</v>
      </c>
      <c r="S40" s="115">
        <v>0.002</v>
      </c>
      <c r="T40" s="108">
        <f>1.421275E-17*T$3</f>
        <v>0.0014212749999999998</v>
      </c>
      <c r="U40" s="109">
        <f t="shared" si="76"/>
        <v>2.8740599878986943</v>
      </c>
      <c r="V40" s="106">
        <f>0.2682508*V$3</f>
        <v>26825.080000000002</v>
      </c>
      <c r="W40" s="106">
        <f>0.0162076*W$3</f>
        <v>1620.76</v>
      </c>
      <c r="X40" s="109">
        <v>0</v>
      </c>
      <c r="Y40" s="110">
        <v>0</v>
      </c>
      <c r="Z40" s="110">
        <f>1.222402*Z$3</f>
        <v>1.222402</v>
      </c>
      <c r="AA40" s="111">
        <v>0</v>
      </c>
      <c r="AB40" s="111">
        <v>2</v>
      </c>
      <c r="AC40" s="110">
        <f>0.0362015*AC$3</f>
        <v>0.036201499999999998</v>
      </c>
      <c r="AD40" s="112">
        <f>0.0203092*AD$3</f>
        <v>0.020309199999999999</v>
      </c>
      <c r="AE40" s="110">
        <f>270.4002*AE$3</f>
        <v>270.40019999999998</v>
      </c>
      <c r="AF40" s="110">
        <f>7.484696*AF$3</f>
        <v>7.4846959999999996</v>
      </c>
      <c r="AG40" s="110">
        <f>190.8035*AG$3</f>
        <v>190.80350000000001</v>
      </c>
      <c r="AH40" s="113">
        <f>7.34445*AH$3</f>
        <v>7.3444500000000001</v>
      </c>
      <c r="AI40" s="109">
        <f>70.6378*AI$3</f>
        <v>70.637799999999999</v>
      </c>
      <c r="AJ40" s="114">
        <v>319</v>
      </c>
      <c r="AK40" s="114">
        <v>11</v>
      </c>
      <c r="AL40" s="108">
        <f>11.30869*AL$3</f>
        <v>11.30869</v>
      </c>
      <c r="AM40" s="108">
        <v>0</v>
      </c>
      <c r="AN40" s="102"/>
      <c r="AO40" s="102"/>
      <c r="AP40" s="112">
        <f>0.0009936*AP$3</f>
        <v>0.00099360000000000008</v>
      </c>
      <c r="AQ40" s="102">
        <f>5.70349*AQ$3</f>
        <v>5.7034900000000004</v>
      </c>
      <c r="AR40" s="112">
        <f>0.0037021*AR$3</f>
        <v>0.0037020999999999998</v>
      </c>
      <c r="AS40" s="102">
        <f>2.767067*AS$3</f>
        <v>2.7670669999999999</v>
      </c>
      <c r="AT40" s="110">
        <f>0.1232667*AT$3</f>
        <v>0.12326670000000001</v>
      </c>
    </row>
    <row r="41" s="102" customFormat="1" ht="12">
      <c r="A41" s="103" t="s">
        <v>861</v>
      </c>
      <c r="B41" s="102" t="s">
        <v>862</v>
      </c>
      <c r="C41" s="102" t="s">
        <v>833</v>
      </c>
      <c r="E41" s="104">
        <v>0</v>
      </c>
      <c r="F41" s="105">
        <v>0</v>
      </c>
      <c r="G41" s="105" t="s">
        <v>834</v>
      </c>
      <c r="H41" s="106">
        <f t="shared" si="77"/>
        <v>1.0129999999999999</v>
      </c>
      <c r="I41" s="106">
        <f t="shared" si="78"/>
        <v>0.004052</v>
      </c>
      <c r="J41" s="104">
        <v>14</v>
      </c>
      <c r="K41" s="104">
        <v>0.20000000000000001</v>
      </c>
      <c r="L41" s="115">
        <v>0.034599999999999999</v>
      </c>
      <c r="M41" s="115">
        <v>0.0019</v>
      </c>
      <c r="N41" s="107">
        <v>0.0030000000000000001</v>
      </c>
      <c r="O41" s="107">
        <v>0.0050000000000000001</v>
      </c>
      <c r="P41" s="102">
        <v>0.02</v>
      </c>
      <c r="Q41" s="102">
        <v>0.16</v>
      </c>
      <c r="R41" s="115">
        <v>0.030700000000000002</v>
      </c>
      <c r="S41" s="115">
        <v>0.0019</v>
      </c>
      <c r="T41" s="108">
        <f>3.690104E-18*T$3</f>
        <v>0.00036901039999999999</v>
      </c>
      <c r="U41" s="109">
        <f t="shared" si="76"/>
        <v>0.74768778632552491</v>
      </c>
      <c r="V41" s="106">
        <f>0.8852469*V$3</f>
        <v>88524.689999999988</v>
      </c>
      <c r="W41" s="106">
        <f>0.0754101*W$3</f>
        <v>7541.0099999999993</v>
      </c>
      <c r="X41" s="109">
        <f>0.0180331*X$3</f>
        <v>0.0180331</v>
      </c>
      <c r="Y41" s="110">
        <f>0.5847512*Y$3</f>
        <v>0.58475120000000003</v>
      </c>
      <c r="Z41" s="110">
        <f>4.551325*Z$3</f>
        <v>4.5513250000000003</v>
      </c>
      <c r="AA41" s="111">
        <v>1</v>
      </c>
      <c r="AB41" s="111">
        <v>8</v>
      </c>
      <c r="AC41" s="110">
        <f>0.0772532*AC$3</f>
        <v>0.077253199999999994</v>
      </c>
      <c r="AD41" s="112">
        <f>0.1463559*AD$3</f>
        <v>0.14635590000000001</v>
      </c>
      <c r="AE41" s="110">
        <f>403.0784*AE$3</f>
        <v>403.07839999999999</v>
      </c>
      <c r="AF41" s="110">
        <f>24.07891*AF$3</f>
        <v>24.07891</v>
      </c>
      <c r="AG41" s="110">
        <f>141.585*AG$3</f>
        <v>141.58500000000001</v>
      </c>
      <c r="AH41" s="113">
        <f>19.3797*AH$3</f>
        <v>19.3797</v>
      </c>
      <c r="AI41" s="109">
        <f>35.11272*AI$3</f>
        <v>35.112720000000003</v>
      </c>
      <c r="AJ41" s="114">
        <v>240</v>
      </c>
      <c r="AK41" s="114">
        <v>30</v>
      </c>
      <c r="AL41" s="108">
        <f>30.98768*AL$3</f>
        <v>30.987680000000001</v>
      </c>
      <c r="AM41" s="108">
        <v>0</v>
      </c>
      <c r="AN41" s="102"/>
      <c r="AO41" s="102"/>
      <c r="AP41" s="112">
        <f>0.0021958*AP$3</f>
        <v>0.0021957999999999999</v>
      </c>
      <c r="AQ41" s="102">
        <f>6.461951*AQ$3</f>
        <v>6.461951</v>
      </c>
      <c r="AR41" s="112">
        <f>0.00248*AR$3</f>
        <v>0.00248</v>
      </c>
      <c r="AS41" s="102">
        <f>5.983633*AS$3</f>
        <v>5.9836330000000002</v>
      </c>
      <c r="AT41" s="110">
        <f>0.0648291*AT$3</f>
        <v>0.064829100000000001</v>
      </c>
    </row>
    <row r="42" s="102" customFormat="1" ht="12">
      <c r="A42" s="103" t="s">
        <v>863</v>
      </c>
      <c r="B42" s="102" t="s">
        <v>862</v>
      </c>
      <c r="C42" s="102" t="s">
        <v>833</v>
      </c>
      <c r="E42" s="104">
        <v>0</v>
      </c>
      <c r="F42" s="105">
        <v>0</v>
      </c>
      <c r="G42" s="105" t="s">
        <v>834</v>
      </c>
      <c r="H42" s="106">
        <f t="shared" si="77"/>
        <v>1.0129999999999999</v>
      </c>
      <c r="I42" s="106">
        <f t="shared" si="78"/>
        <v>0.004052</v>
      </c>
      <c r="J42" s="102">
        <v>8.5800000000000001</v>
      </c>
      <c r="K42" s="102">
        <v>0.19</v>
      </c>
      <c r="L42" s="107">
        <v>0.057000000000000002</v>
      </c>
      <c r="M42" s="107">
        <v>0.002</v>
      </c>
      <c r="N42" s="107">
        <v>0.001</v>
      </c>
      <c r="O42" s="107">
        <v>0.002</v>
      </c>
      <c r="P42" s="102">
        <v>0</v>
      </c>
      <c r="Q42" s="102">
        <v>0.19</v>
      </c>
      <c r="R42" s="115">
        <v>0</v>
      </c>
      <c r="S42" s="115">
        <v>0.0018000000000000002</v>
      </c>
      <c r="T42" s="108">
        <f>6.438424E-18*T$3</f>
        <v>0.00064384239999999997</v>
      </c>
      <c r="U42" s="109">
        <f t="shared" si="76"/>
        <v>1.2317399948137262</v>
      </c>
      <c r="V42" s="106">
        <v>0</v>
      </c>
      <c r="W42" s="106">
        <f>0.0322093*W$3</f>
        <v>3220.9300000000003</v>
      </c>
      <c r="X42" s="109">
        <f>2.480558*X$3</f>
        <v>2.4805579999999998</v>
      </c>
      <c r="Y42" s="110">
        <v>0</v>
      </c>
      <c r="Z42" s="110">
        <f>3.351292*Z$3</f>
        <v>3.3512919999999999</v>
      </c>
      <c r="AA42" s="111">
        <v>0</v>
      </c>
      <c r="AB42" s="111">
        <v>6</v>
      </c>
      <c r="AC42" s="110">
        <f>0.0109723*AC$3</f>
        <v>0.010972300000000001</v>
      </c>
      <c r="AD42" s="112">
        <f>0.0369125*AD$3</f>
        <v>0.036912500000000001</v>
      </c>
      <c r="AE42" s="110">
        <f>149.3282*AE$3</f>
        <v>149.32820000000001</v>
      </c>
      <c r="AF42" s="110">
        <f>7.117352*AF$3</f>
        <v>7.1173520000000003</v>
      </c>
      <c r="AG42" s="110">
        <f>167.5697*AG$3</f>
        <v>167.56970000000001</v>
      </c>
      <c r="AH42" s="113">
        <f>12.23422*AH$3</f>
        <v>12.234220000000001</v>
      </c>
      <c r="AI42" s="109">
        <f>112.6638*AI$3</f>
        <v>112.66379999999999</v>
      </c>
      <c r="AJ42" s="114">
        <v>283</v>
      </c>
      <c r="AK42" s="114">
        <v>19</v>
      </c>
      <c r="AL42" s="108">
        <f>19.14253*AL$3</f>
        <v>19.142530000000001</v>
      </c>
      <c r="AM42" s="108">
        <v>0</v>
      </c>
      <c r="AN42" s="102"/>
      <c r="AO42" s="102"/>
      <c r="AP42" s="112">
        <v>0</v>
      </c>
      <c r="AQ42" s="102">
        <v>0</v>
      </c>
      <c r="AR42" s="112">
        <f>0.0067234*AR$3</f>
        <v>0.0067234</v>
      </c>
      <c r="AS42" s="102">
        <f>4.757468*AS$3</f>
        <v>4.7574680000000003</v>
      </c>
      <c r="AT42" s="110">
        <f>0.0242739*AT$3</f>
        <v>0.024273900000000001</v>
      </c>
    </row>
    <row r="43" s="102" customFormat="1" ht="12">
      <c r="A43" s="103" t="s">
        <v>864</v>
      </c>
      <c r="B43" s="102" t="s">
        <v>862</v>
      </c>
      <c r="C43" s="102" t="s">
        <v>833</v>
      </c>
      <c r="E43" s="104">
        <v>0</v>
      </c>
      <c r="F43" s="105">
        <v>0</v>
      </c>
      <c r="G43" s="105" t="s">
        <v>834</v>
      </c>
      <c r="H43" s="106">
        <f t="shared" si="77"/>
        <v>1.0129999999999999</v>
      </c>
      <c r="I43" s="106">
        <f t="shared" si="78"/>
        <v>0.004052</v>
      </c>
      <c r="J43" s="104">
        <v>63.200000000000003</v>
      </c>
      <c r="K43" s="104">
        <v>0.40000000000000002</v>
      </c>
      <c r="L43" s="107">
        <v>0.38300000000000001</v>
      </c>
      <c r="M43" s="107">
        <v>0.0050000000000000001</v>
      </c>
      <c r="N43" s="107">
        <v>0.0040000000000000001</v>
      </c>
      <c r="O43" s="107">
        <v>0.002</v>
      </c>
      <c r="P43" s="102">
        <v>0</v>
      </c>
      <c r="Q43" s="102">
        <v>0.16</v>
      </c>
      <c r="R43" s="115">
        <v>0</v>
      </c>
      <c r="S43" s="115">
        <v>0.0018000000000000002</v>
      </c>
      <c r="T43" s="108">
        <f>4.311968E-17*T$3</f>
        <v>0.0043119680000000002</v>
      </c>
      <c r="U43" s="109">
        <f t="shared" si="76"/>
        <v>8.2764283862045094</v>
      </c>
      <c r="V43" s="106">
        <v>0</v>
      </c>
      <c r="W43" s="106">
        <f>0.0048342*W$3</f>
        <v>483.42000000000002</v>
      </c>
      <c r="X43" s="109">
        <f>0.1728044*X$3</f>
        <v>0.1728044</v>
      </c>
      <c r="Y43" s="110">
        <v>0</v>
      </c>
      <c r="Z43" s="110">
        <f>0.4365269*Z$3</f>
        <v>0.4365269</v>
      </c>
      <c r="AA43" s="104">
        <v>0</v>
      </c>
      <c r="AB43" s="104">
        <v>0.69999999999999996</v>
      </c>
      <c r="AC43" s="110">
        <f>0.010271*AC$3</f>
        <v>0.010271000000000001</v>
      </c>
      <c r="AD43" s="112">
        <f>0.0057211*AD$3</f>
        <v>0.0057210999999999998</v>
      </c>
      <c r="AE43" s="110">
        <f>164.8028*AE$3</f>
        <v>164.80279999999999</v>
      </c>
      <c r="AF43" s="110">
        <f>2.622324*AF$3</f>
        <v>2.6223239999999999</v>
      </c>
      <c r="AG43" s="110">
        <f>191.773*AG$3</f>
        <v>191.773</v>
      </c>
      <c r="AH43" s="113">
        <f>3.285595*AH$3</f>
        <v>3.2855949999999998</v>
      </c>
      <c r="AI43" s="109">
        <f>116.4136*AI$3</f>
        <v>116.4136</v>
      </c>
      <c r="AJ43" s="111">
        <v>320</v>
      </c>
      <c r="AK43" s="111">
        <v>5</v>
      </c>
      <c r="AL43" s="108">
        <f>5.163005*AL$3</f>
        <v>5.1630050000000001</v>
      </c>
      <c r="AM43" s="108">
        <v>0</v>
      </c>
      <c r="AN43" s="102"/>
      <c r="AO43" s="102"/>
      <c r="AP43" s="112">
        <v>0</v>
      </c>
      <c r="AQ43" s="102">
        <v>0</v>
      </c>
      <c r="AR43" s="112">
        <f>0.0060704*AR$3</f>
        <v>0.0060704000000000001</v>
      </c>
      <c r="AS43" s="102">
        <f>1.59099*AS$3</f>
        <v>1.5909899999999999</v>
      </c>
      <c r="AT43" s="110">
        <f>0.0656554*AT$3</f>
        <v>0.065655400000000003</v>
      </c>
    </row>
    <row r="44" s="102" customFormat="1" ht="12">
      <c r="A44" s="103" t="s">
        <v>865</v>
      </c>
      <c r="B44" s="102" t="s">
        <v>862</v>
      </c>
      <c r="C44" s="102" t="s">
        <v>833</v>
      </c>
      <c r="E44" s="104">
        <v>0</v>
      </c>
      <c r="F44" s="105">
        <v>0</v>
      </c>
      <c r="G44" s="105" t="s">
        <v>834</v>
      </c>
      <c r="H44" s="106">
        <f t="shared" si="77"/>
        <v>1.0129999999999999</v>
      </c>
      <c r="I44" s="106">
        <f t="shared" si="78"/>
        <v>0.004052</v>
      </c>
      <c r="J44" s="104">
        <v>37.100000000000001</v>
      </c>
      <c r="K44" s="104">
        <v>0.40000000000000002</v>
      </c>
      <c r="L44" s="107">
        <v>0.30199999999999999</v>
      </c>
      <c r="M44" s="107">
        <v>0.0050000000000000001</v>
      </c>
      <c r="N44" s="107">
        <v>0.01</v>
      </c>
      <c r="O44" s="107">
        <v>0.002</v>
      </c>
      <c r="P44" s="104">
        <v>0</v>
      </c>
      <c r="Q44" s="104">
        <v>0.20000000000000001</v>
      </c>
      <c r="R44" s="115">
        <v>0.0161</v>
      </c>
      <c r="S44" s="115">
        <v>0.0019</v>
      </c>
      <c r="T44" s="108">
        <f>3.221801E-17*T$3</f>
        <v>0.0032218009999999998</v>
      </c>
      <c r="U44" s="109">
        <f t="shared" si="76"/>
        <v>6.5260610251534255</v>
      </c>
      <c r="V44" s="106">
        <f>0.0534461*V$3</f>
        <v>5344.6100000000006</v>
      </c>
      <c r="W44" s="106">
        <f>0.0063888*W$3</f>
        <v>638.88</v>
      </c>
      <c r="X44" s="109">
        <v>0</v>
      </c>
      <c r="Y44" s="110">
        <v>0</v>
      </c>
      <c r="Z44" s="110">
        <f>0.6913495*Z$3</f>
        <v>0.69134949999999995</v>
      </c>
      <c r="AA44" s="104">
        <v>0</v>
      </c>
      <c r="AB44" s="104">
        <v>1.2</v>
      </c>
      <c r="AC44" s="110">
        <f>0.034378*AC$3</f>
        <v>0.034377999999999999</v>
      </c>
      <c r="AD44" s="112">
        <f>0.0077835*AD$3</f>
        <v>0.0077834999999999996</v>
      </c>
      <c r="AE44" s="110">
        <f>123.0517*AE$3</f>
        <v>123.0517</v>
      </c>
      <c r="AF44" s="110">
        <f>2.376765*AF$3</f>
        <v>2.3767649999999998</v>
      </c>
      <c r="AG44" s="110">
        <f>107.2502*AG$3</f>
        <v>107.25020000000001</v>
      </c>
      <c r="AH44" s="113">
        <f>2.868031*AH$3</f>
        <v>2.8680310000000002</v>
      </c>
      <c r="AI44" s="109">
        <f>87.16345*AI$3</f>
        <v>87.163449999999997</v>
      </c>
      <c r="AJ44" s="111">
        <v>186</v>
      </c>
      <c r="AK44" s="111">
        <v>5</v>
      </c>
      <c r="AL44" s="108">
        <f>4.780366*AL$3</f>
        <v>4.7803659999999999</v>
      </c>
      <c r="AM44" s="108">
        <v>0</v>
      </c>
      <c r="AN44" s="102"/>
      <c r="AO44" s="102"/>
      <c r="AP44" s="112">
        <f>0.0004344*AP$3</f>
        <v>0.00043439999999999999</v>
      </c>
      <c r="AQ44" s="102">
        <f>11.90203*AQ$3</f>
        <v>11.90203</v>
      </c>
      <c r="AR44" s="112">
        <f>0.0081271*AR$3</f>
        <v>0.0081270999999999999</v>
      </c>
      <c r="AS44" s="102">
        <f>1.932124*AS$3</f>
        <v>1.932124</v>
      </c>
      <c r="AT44" s="110">
        <f>0.0544273*AT$3</f>
        <v>0.054427299999999998</v>
      </c>
    </row>
    <row r="45" s="102" customFormat="1" ht="12">
      <c r="A45" s="103" t="s">
        <v>866</v>
      </c>
      <c r="B45" s="102" t="s">
        <v>862</v>
      </c>
      <c r="C45" s="102" t="s">
        <v>833</v>
      </c>
      <c r="E45" s="104">
        <v>0</v>
      </c>
      <c r="F45" s="105">
        <v>0</v>
      </c>
      <c r="G45" s="105" t="s">
        <v>834</v>
      </c>
      <c r="H45" s="106">
        <f t="shared" si="77"/>
        <v>1.0129999999999999</v>
      </c>
      <c r="I45" s="106">
        <f t="shared" si="78"/>
        <v>0.004052</v>
      </c>
      <c r="J45" s="104">
        <v>3.3999999999999999</v>
      </c>
      <c r="K45" s="104">
        <v>0.20000000000000001</v>
      </c>
      <c r="L45" s="115">
        <v>0.0407</v>
      </c>
      <c r="M45" s="115">
        <v>0.0019</v>
      </c>
      <c r="N45" s="107">
        <v>0.002</v>
      </c>
      <c r="O45" s="107">
        <v>0.0050000000000000001</v>
      </c>
      <c r="P45" s="104">
        <v>0.5</v>
      </c>
      <c r="Q45" s="104">
        <v>0.20000000000000001</v>
      </c>
      <c r="R45" s="115">
        <v>0</v>
      </c>
      <c r="S45" s="115">
        <v>0.002</v>
      </c>
      <c r="T45" s="108">
        <f>4.580559E-18*T$3</f>
        <v>0.0004580559</v>
      </c>
      <c r="U45" s="109">
        <f t="shared" si="76"/>
        <v>0.87950557524418693</v>
      </c>
      <c r="V45" s="106">
        <v>0</v>
      </c>
      <c r="W45" s="106">
        <f>0.0487016*W$3</f>
        <v>4870.1599999999999</v>
      </c>
      <c r="X45" s="109">
        <v>0</v>
      </c>
      <c r="Y45" s="110">
        <f>11.49039*Y$3</f>
        <v>11.49039</v>
      </c>
      <c r="Z45" s="110">
        <f>5.064806*Z$3</f>
        <v>5.0648059999999999</v>
      </c>
      <c r="AA45" s="111">
        <v>20</v>
      </c>
      <c r="AB45" s="111">
        <v>9</v>
      </c>
      <c r="AC45" s="110">
        <f>0.0482926*AC$3</f>
        <v>0.048292599999999998</v>
      </c>
      <c r="AD45" s="112">
        <f>0.1254286*AD$3</f>
        <v>0.1254286</v>
      </c>
      <c r="AE45" s="110">
        <f>84.26734*AE$3</f>
        <v>84.267340000000004</v>
      </c>
      <c r="AF45" s="110">
        <f>7.205225*AF$3</f>
        <v>7.2052250000000004</v>
      </c>
      <c r="AG45" s="110">
        <f>89.87215*AG$3</f>
        <v>89.872150000000005</v>
      </c>
      <c r="AH45" s="113">
        <f>16.30354*AH$3</f>
        <v>16.303540000000002</v>
      </c>
      <c r="AI45" s="109">
        <f>105.8441*AI$3</f>
        <v>105.8441</v>
      </c>
      <c r="AJ45" s="114">
        <v>160</v>
      </c>
      <c r="AK45" s="114">
        <v>30</v>
      </c>
      <c r="AL45" s="108">
        <f>27.31562*AL$3</f>
        <v>27.315619999999999</v>
      </c>
      <c r="AM45" s="108">
        <v>0</v>
      </c>
      <c r="AN45" s="102"/>
      <c r="AO45" s="102"/>
      <c r="AP45" s="112">
        <v>0</v>
      </c>
      <c r="AQ45" s="102">
        <v>0</v>
      </c>
      <c r="AR45" s="112">
        <f>0.0117772*AR$3</f>
        <v>0.0117772</v>
      </c>
      <c r="AS45" s="102">
        <f>8.578581*AS$3</f>
        <v>8.5785809999999998</v>
      </c>
      <c r="AT45" s="110">
        <f>0.0198732*AT$3</f>
        <v>0.019873200000000001</v>
      </c>
    </row>
    <row r="46" s="102" customFormat="1" ht="12">
      <c r="A46" s="103" t="s">
        <v>867</v>
      </c>
      <c r="B46" s="102" t="s">
        <v>862</v>
      </c>
      <c r="C46" s="102" t="s">
        <v>833</v>
      </c>
      <c r="E46" s="104">
        <v>0</v>
      </c>
      <c r="F46" s="105">
        <v>0</v>
      </c>
      <c r="G46" s="105" t="s">
        <v>834</v>
      </c>
      <c r="H46" s="106">
        <f t="shared" si="77"/>
        <v>1.0129999999999999</v>
      </c>
      <c r="I46" s="106">
        <f t="shared" si="78"/>
        <v>0.004052</v>
      </c>
      <c r="J46" s="104">
        <v>3.2000000000000002</v>
      </c>
      <c r="K46" s="104">
        <v>0.20000000000000001</v>
      </c>
      <c r="L46" s="107">
        <v>0.014999999999999999</v>
      </c>
      <c r="M46" s="107">
        <v>0.0060000000000000001</v>
      </c>
      <c r="N46" s="115">
        <v>0</v>
      </c>
      <c r="O46" s="115">
        <v>0.0017000000000000001</v>
      </c>
      <c r="P46" s="102">
        <v>0.28999999999999998</v>
      </c>
      <c r="Q46" s="102">
        <v>0.20000000000000001</v>
      </c>
      <c r="R46" s="115">
        <v>0.0065000000000000006</v>
      </c>
      <c r="S46" s="115">
        <v>0.0018000000000000002</v>
      </c>
      <c r="T46" s="108">
        <f>1.610144E-18*T$3</f>
        <v>0.00016101439999999999</v>
      </c>
      <c r="U46" s="109">
        <f t="shared" si="76"/>
        <v>0.32414210389834897</v>
      </c>
      <c r="V46" s="106">
        <f>0.4306563*V$3</f>
        <v>43065.629999999997</v>
      </c>
      <c r="W46" s="106">
        <f>0.2166058*W$3</f>
        <v>21660.579999999998</v>
      </c>
      <c r="X46" s="109">
        <f>1.215407*X$3</f>
        <v>1.2154069999999999</v>
      </c>
      <c r="Y46" s="110">
        <f>19.17299*Y$3</f>
        <v>19.172989999999999</v>
      </c>
      <c r="Z46" s="110">
        <f>15.49928*Z$3</f>
        <v>15.499280000000001</v>
      </c>
      <c r="AA46" s="114">
        <v>30</v>
      </c>
      <c r="AB46" s="114">
        <v>30</v>
      </c>
      <c r="AC46" s="110">
        <v>0</v>
      </c>
      <c r="AD46" s="112">
        <f>0.1921542*AD$3</f>
        <v>0.1921542</v>
      </c>
      <c r="AE46" s="110">
        <f>212.1353*AE$3</f>
        <v>212.1353</v>
      </c>
      <c r="AF46" s="110">
        <f>91.09502*AF$3</f>
        <v>91.095020000000005</v>
      </c>
      <c r="AG46" s="110">
        <f>87.53211*AG$3</f>
        <v>87.532110000000003</v>
      </c>
      <c r="AH46" s="113">
        <f>54.28943*AH$3</f>
        <v>54.289430000000003</v>
      </c>
      <c r="AI46" s="109">
        <f>40.73821*AI$3</f>
        <v>40.738210000000002</v>
      </c>
      <c r="AJ46" s="114">
        <v>150</v>
      </c>
      <c r="AK46" s="114">
        <v>90</v>
      </c>
      <c r="AL46" s="108">
        <f>91.13656*AL$3</f>
        <v>91.136560000000003</v>
      </c>
      <c r="AM46" s="108">
        <v>0</v>
      </c>
      <c r="AN46" s="102"/>
      <c r="AO46" s="102"/>
      <c r="AP46" s="112">
        <f>0.0020055*AP$3</f>
        <v>0.0020054999999999999</v>
      </c>
      <c r="AQ46" s="102">
        <f>28.88412*AQ$3</f>
        <v>28.884119999999999</v>
      </c>
      <c r="AR46" s="112">
        <f>0.0046541*AR$3</f>
        <v>0.0046541000000000004</v>
      </c>
      <c r="AS46" s="102">
        <f>43.48636*AS$3</f>
        <v>43.486359999999998</v>
      </c>
      <c r="AT46" s="110">
        <f>0.0515237*AT$3</f>
        <v>0.051523699999999999</v>
      </c>
    </row>
    <row r="47" s="102" customFormat="1" ht="12">
      <c r="A47" s="103" t="s">
        <v>868</v>
      </c>
      <c r="B47" s="102" t="s">
        <v>862</v>
      </c>
      <c r="C47" s="102" t="s">
        <v>833</v>
      </c>
      <c r="E47" s="104">
        <v>0</v>
      </c>
      <c r="F47" s="105">
        <v>0</v>
      </c>
      <c r="G47" s="105" t="s">
        <v>834</v>
      </c>
      <c r="H47" s="106">
        <f t="shared" si="77"/>
        <v>1.0129999999999999</v>
      </c>
      <c r="I47" s="106">
        <f t="shared" si="78"/>
        <v>0.004052</v>
      </c>
      <c r="J47" s="104">
        <v>0</v>
      </c>
      <c r="K47" s="104">
        <v>0.20000000000000001</v>
      </c>
      <c r="L47" s="107">
        <v>0.028000000000000001</v>
      </c>
      <c r="M47" s="107">
        <v>0.002</v>
      </c>
      <c r="N47" s="107">
        <v>0</v>
      </c>
      <c r="O47" s="107">
        <v>0.002</v>
      </c>
      <c r="P47" s="102">
        <v>0.46000000000000002</v>
      </c>
      <c r="Q47" s="102">
        <v>0.19</v>
      </c>
      <c r="R47" s="115">
        <v>0</v>
      </c>
      <c r="S47" s="115">
        <v>0.0019</v>
      </c>
      <c r="T47" s="108">
        <f>3.010531E-18*T$3</f>
        <v>0.0003010531</v>
      </c>
      <c r="U47" s="109">
        <f t="shared" si="76"/>
        <v>0.60506526061025145</v>
      </c>
      <c r="V47" s="106">
        <v>0</v>
      </c>
      <c r="W47" s="106">
        <f>0.1601566*W$3</f>
        <v>16015.660000000002</v>
      </c>
      <c r="X47" s="109">
        <v>0</v>
      </c>
      <c r="Y47" s="110">
        <f>16.18416*Y$3</f>
        <v>16.184159999999999</v>
      </c>
      <c r="Z47" s="110">
        <f>6.895325*Z$3</f>
        <v>6.8953249999999997</v>
      </c>
      <c r="AA47" s="114">
        <v>28</v>
      </c>
      <c r="AB47" s="114">
        <v>12</v>
      </c>
      <c r="AC47" s="110">
        <v>0</v>
      </c>
      <c r="AD47" s="112">
        <f>0.0869887*AD$3</f>
        <v>0.086988700000000002</v>
      </c>
      <c r="AE47" s="110">
        <v>0</v>
      </c>
      <c r="AF47" s="110">
        <f>35.09254*AF$3</f>
        <v>35.09254</v>
      </c>
      <c r="AG47" s="110">
        <f>117.8178*AG$3</f>
        <v>117.81780000000001</v>
      </c>
      <c r="AH47" s="113">
        <f>23.80856*AH$3</f>
        <v>23.80856</v>
      </c>
      <c r="AI47" s="109">
        <v>0</v>
      </c>
      <c r="AJ47" s="114">
        <v>200</v>
      </c>
      <c r="AK47" s="114">
        <v>40</v>
      </c>
      <c r="AL47" s="108">
        <f>38.87918*AL$3</f>
        <v>38.879179999999998</v>
      </c>
      <c r="AM47" s="108">
        <v>0</v>
      </c>
      <c r="AN47" s="102"/>
      <c r="AO47" s="102"/>
      <c r="AP47" s="112">
        <f>0.0042677*AP$3</f>
        <v>0.0042677000000000001</v>
      </c>
      <c r="AQ47" s="102">
        <f>4.027208*AQ$3</f>
        <v>4.0272079999999999</v>
      </c>
      <c r="AR47" s="112">
        <v>0</v>
      </c>
      <c r="AS47" s="102">
        <v>0</v>
      </c>
      <c r="AT47" s="110">
        <f>0.1129129*AT$3</f>
        <v>0.1129129</v>
      </c>
    </row>
    <row r="48" s="102" customFormat="1" ht="12">
      <c r="A48" s="103" t="s">
        <v>869</v>
      </c>
      <c r="B48" s="102" t="s">
        <v>862</v>
      </c>
      <c r="C48" s="102" t="s">
        <v>833</v>
      </c>
      <c r="E48" s="104">
        <v>0</v>
      </c>
      <c r="F48" s="105">
        <v>0</v>
      </c>
      <c r="G48" s="105" t="s">
        <v>834</v>
      </c>
      <c r="H48" s="106">
        <f t="shared" si="77"/>
        <v>1.0129999999999999</v>
      </c>
      <c r="I48" s="106">
        <f t="shared" si="78"/>
        <v>0.004052</v>
      </c>
      <c r="J48" s="104">
        <v>11.5</v>
      </c>
      <c r="K48" s="104">
        <v>0.29999999999999999</v>
      </c>
      <c r="L48" s="115">
        <v>0.021100000000000001</v>
      </c>
      <c r="M48" s="115">
        <v>0.0018000000000000002</v>
      </c>
      <c r="N48" s="107">
        <v>0.0060000000000000001</v>
      </c>
      <c r="O48" s="107">
        <v>0.002</v>
      </c>
      <c r="P48" s="104">
        <v>0</v>
      </c>
      <c r="Q48" s="104">
        <v>0.20000000000000001</v>
      </c>
      <c r="R48" s="115">
        <v>0.021700000000000001</v>
      </c>
      <c r="S48" s="115">
        <v>0.0018000000000000002</v>
      </c>
      <c r="T48" s="108">
        <f>2.240999E-18*T$3</f>
        <v>0.00022409989999999999</v>
      </c>
      <c r="U48" s="109">
        <f t="shared" si="76"/>
        <v>0.45595989281701083</v>
      </c>
      <c r="V48" s="106">
        <f>1.027337*V$3</f>
        <v>102733.7</v>
      </c>
      <c r="W48" s="106">
        <f>0.127209*W$3</f>
        <v>12720.9</v>
      </c>
      <c r="X48" s="109">
        <v>0</v>
      </c>
      <c r="Y48" s="110">
        <v>0</v>
      </c>
      <c r="Z48" s="110">
        <f>10.2937*Z$3</f>
        <v>10.293699999999999</v>
      </c>
      <c r="AA48" s="114">
        <v>0</v>
      </c>
      <c r="AB48" s="114">
        <v>17</v>
      </c>
      <c r="AC48" s="110">
        <f>0.2694527*AC$3</f>
        <v>0.26945269999999999</v>
      </c>
      <c r="AD48" s="112">
        <f>0.1153708*AD$3</f>
        <v>0.1153708</v>
      </c>
      <c r="AE48" s="110">
        <f>547.2216*AE$3</f>
        <v>547.22159999999997</v>
      </c>
      <c r="AF48" s="110">
        <f>50.99099*AF$3</f>
        <v>50.990989999999996</v>
      </c>
      <c r="AG48" s="110">
        <f>236.041*AG$3</f>
        <v>236.041</v>
      </c>
      <c r="AH48" s="113">
        <f>35.33839*AH$3</f>
        <v>35.338389999999997</v>
      </c>
      <c r="AI48" s="109">
        <f>44.05135*AI$3</f>
        <v>44.051349999999999</v>
      </c>
      <c r="AJ48" s="114">
        <v>390</v>
      </c>
      <c r="AK48" s="114">
        <v>50</v>
      </c>
      <c r="AL48" s="108">
        <f>52.13826*AL$3</f>
        <v>52.138260000000002</v>
      </c>
      <c r="AM48" s="108">
        <v>0</v>
      </c>
      <c r="AN48" s="102"/>
      <c r="AO48" s="102"/>
      <c r="AP48" s="112">
        <f>0.0018934*AP$3</f>
        <v>0.0018933999999999999</v>
      </c>
      <c r="AQ48" s="102">
        <f>8.792554*AQ$3</f>
        <v>8.7925540000000009</v>
      </c>
      <c r="AR48" s="112">
        <f>0.0018663*AR$3</f>
        <v>0.0018663</v>
      </c>
      <c r="AS48" s="102">
        <f>9.160304*AS$3</f>
        <v>9.160304</v>
      </c>
      <c r="AT48" s="110">
        <f>0.0753129*AT$3</f>
        <v>0.075312900000000002</v>
      </c>
    </row>
    <row r="49" s="102" customFormat="1" ht="12">
      <c r="A49" s="103" t="s">
        <v>870</v>
      </c>
      <c r="B49" s="102" t="s">
        <v>871</v>
      </c>
      <c r="C49" s="102" t="s">
        <v>833</v>
      </c>
      <c r="E49" s="104">
        <v>0</v>
      </c>
      <c r="F49" s="105">
        <v>0</v>
      </c>
      <c r="G49" s="105" t="s">
        <v>834</v>
      </c>
      <c r="H49" s="106">
        <f t="shared" si="77"/>
        <v>1.0129999999999999</v>
      </c>
      <c r="I49" s="106">
        <f t="shared" si="78"/>
        <v>0.004052</v>
      </c>
      <c r="J49" s="104">
        <v>95.5</v>
      </c>
      <c r="K49" s="104">
        <v>0.40000000000000002</v>
      </c>
      <c r="L49" s="107">
        <v>0.185</v>
      </c>
      <c r="M49" s="107">
        <v>0.0040000000000000001</v>
      </c>
      <c r="N49" s="107">
        <v>0.048000000000000001</v>
      </c>
      <c r="O49" s="107">
        <v>0.002</v>
      </c>
      <c r="P49" s="102">
        <v>0.17000000000000001</v>
      </c>
      <c r="Q49" s="102">
        <v>0.16</v>
      </c>
      <c r="R49" s="107">
        <v>0.20999999999999999</v>
      </c>
      <c r="S49" s="107">
        <v>0.002</v>
      </c>
      <c r="T49" s="108">
        <f>2.162203E-17*T$3</f>
        <v>0.0021622029999999997</v>
      </c>
      <c r="U49" s="109">
        <f t="shared" si="76"/>
        <v>3.9977526147463038</v>
      </c>
      <c r="V49" s="106">
        <f>1.135283*V$3</f>
        <v>113528.3</v>
      </c>
      <c r="W49" s="106">
        <f>0.0294618*W$3</f>
        <v>2946.1799999999998</v>
      </c>
      <c r="X49" s="109">
        <f>0.0222698*X$3</f>
        <v>0.022269799999999999</v>
      </c>
      <c r="Y49" s="110">
        <f>0.926099*Y$3</f>
        <v>0.92609900000000001</v>
      </c>
      <c r="Z49" s="110">
        <f>0.9048197*Z$3</f>
        <v>0.9048197</v>
      </c>
      <c r="AA49" s="104">
        <v>1.6000000000000001</v>
      </c>
      <c r="AB49" s="104">
        <v>1.5</v>
      </c>
      <c r="AC49" s="110">
        <f>0.2575959*AC$3</f>
        <v>0.25759589999999999</v>
      </c>
      <c r="AD49" s="112">
        <f>0.0156908*AD$3</f>
        <v>0.015690800000000001</v>
      </c>
      <c r="AE49" s="110">
        <f>516.0436*AE$3</f>
        <v>516.04359999999997</v>
      </c>
      <c r="AF49" s="110">
        <f>12.67488*AF$3</f>
        <v>12.67488</v>
      </c>
      <c r="AG49" s="110">
        <f>180.7481*AG$3</f>
        <v>180.74809999999999</v>
      </c>
      <c r="AH49" s="113">
        <f>6.127236*AH$3</f>
        <v>6.1272359999999999</v>
      </c>
      <c r="AI49" s="109">
        <f>35.00456*AI$3</f>
        <v>35.004559999999998</v>
      </c>
      <c r="AJ49" s="111">
        <v>303</v>
      </c>
      <c r="AK49" s="111">
        <v>9</v>
      </c>
      <c r="AL49" s="108">
        <f>9.530398*AL$3</f>
        <v>9.5303979999999999</v>
      </c>
      <c r="AM49" s="108">
        <v>0</v>
      </c>
      <c r="AN49" s="102"/>
      <c r="AO49" s="102"/>
      <c r="AP49" s="112">
        <f>0.0021995*AP$3</f>
        <v>0.0021995000000000001</v>
      </c>
      <c r="AQ49" s="102">
        <f>1.141161*AQ$3</f>
        <v>1.1411610000000001</v>
      </c>
      <c r="AR49" s="112">
        <f>0.0019366*AR$3</f>
        <v>0.0019365999999999999</v>
      </c>
      <c r="AS49" s="102">
        <f>2.458372*AS$3</f>
        <v>2.4583719999999998</v>
      </c>
      <c r="AT49" s="110">
        <f>0.1365809*AT$3</f>
        <v>0.13658090000000001</v>
      </c>
    </row>
    <row r="50" s="102" customFormat="1" ht="12">
      <c r="A50" s="103" t="s">
        <v>872</v>
      </c>
      <c r="B50" s="102" t="s">
        <v>871</v>
      </c>
      <c r="C50" s="102" t="s">
        <v>833</v>
      </c>
      <c r="E50" s="104">
        <v>0</v>
      </c>
      <c r="F50" s="105">
        <v>0</v>
      </c>
      <c r="G50" s="105" t="s">
        <v>834</v>
      </c>
      <c r="H50" s="106">
        <f t="shared" si="77"/>
        <v>1.0129999999999999</v>
      </c>
      <c r="I50" s="106">
        <f t="shared" si="78"/>
        <v>0.004052</v>
      </c>
      <c r="J50" s="104">
        <v>26.800000000000001</v>
      </c>
      <c r="K50" s="104">
        <v>0.20000000000000001</v>
      </c>
      <c r="L50" s="115">
        <v>0.013000000000000001</v>
      </c>
      <c r="M50" s="115">
        <v>0.0013000000000000002</v>
      </c>
      <c r="N50" s="107">
        <v>0.023</v>
      </c>
      <c r="O50" s="107">
        <v>0.002</v>
      </c>
      <c r="P50" s="104">
        <v>0</v>
      </c>
      <c r="Q50" s="104">
        <v>0.20000000000000001</v>
      </c>
      <c r="R50" s="107">
        <v>0.073999999999999996</v>
      </c>
      <c r="S50" s="107">
        <v>0.002</v>
      </c>
      <c r="T50" s="108">
        <f>1.512028E-18*T$3</f>
        <v>0.0001512028</v>
      </c>
      <c r="U50" s="109">
        <f t="shared" si="76"/>
        <v>0.28092315671190243</v>
      </c>
      <c r="V50" s="106">
        <f>5.732673*V$3</f>
        <v>573267.30000000005</v>
      </c>
      <c r="W50" s="106">
        <f>0.6401998*W$3</f>
        <v>64019.979999999996</v>
      </c>
      <c r="X50" s="109">
        <v>0</v>
      </c>
      <c r="Y50" s="110">
        <v>0</v>
      </c>
      <c r="Z50" s="110">
        <f>17.17871*Z$3</f>
        <v>17.178709999999999</v>
      </c>
      <c r="AA50" s="114">
        <v>0</v>
      </c>
      <c r="AB50" s="114">
        <v>30</v>
      </c>
      <c r="AC50" s="110">
        <f>1.758683*AC$3</f>
        <v>1.758683</v>
      </c>
      <c r="AD50" s="112">
        <f>0.2497101*AD$3</f>
        <v>0.24971009999999999</v>
      </c>
      <c r="AE50" s="110">
        <f>2067.017*AE$3</f>
        <v>2067.0169999999998</v>
      </c>
      <c r="AF50" s="110">
        <f>222.9205*AF$3</f>
        <v>222.9205</v>
      </c>
      <c r="AG50" s="110">
        <f>364.7717*AG$3</f>
        <v>364.77170000000001</v>
      </c>
      <c r="AH50" s="113">
        <f>67.69718*AH$3</f>
        <v>67.697180000000003</v>
      </c>
      <c r="AI50" s="109">
        <f>17.94614*AI$3</f>
        <v>17.94614</v>
      </c>
      <c r="AJ50" s="114">
        <v>570</v>
      </c>
      <c r="AK50" s="114">
        <v>90</v>
      </c>
      <c r="AL50" s="108">
        <f>90.35862*AL$3</f>
        <v>90.358620000000002</v>
      </c>
      <c r="AM50" s="108">
        <v>0</v>
      </c>
      <c r="AN50" s="102"/>
      <c r="AO50" s="102"/>
      <c r="AP50" s="112">
        <f>0.0027768*AP$3</f>
        <v>0.0027767999999999998</v>
      </c>
      <c r="AQ50" s="102">
        <f>3.24705*AQ$3</f>
        <v>3.2470500000000002</v>
      </c>
      <c r="AR50" s="112">
        <f>0.000492*AR$3</f>
        <v>0.00049200000000000003</v>
      </c>
      <c r="AS50" s="102">
        <f>10.66429*AS$3</f>
        <v>10.664289999999999</v>
      </c>
      <c r="AT50" s="110">
        <f>0.0337682*AT$3</f>
        <v>0.033768199999999998</v>
      </c>
    </row>
    <row r="51" s="102" customFormat="1" ht="12">
      <c r="A51" s="103" t="s">
        <v>873</v>
      </c>
      <c r="B51" s="102" t="s">
        <v>871</v>
      </c>
      <c r="C51" s="102" t="s">
        <v>833</v>
      </c>
      <c r="E51" s="104">
        <v>0</v>
      </c>
      <c r="F51" s="105">
        <v>0</v>
      </c>
      <c r="G51" s="105" t="s">
        <v>834</v>
      </c>
      <c r="H51" s="106">
        <f t="shared" si="77"/>
        <v>1.0129999999999999</v>
      </c>
      <c r="I51" s="106">
        <f t="shared" si="78"/>
        <v>0.004052</v>
      </c>
      <c r="J51" s="104">
        <v>33.399999999999999</v>
      </c>
      <c r="K51" s="104">
        <v>0.29999999999999999</v>
      </c>
      <c r="L51" s="107">
        <v>0.091999999999999998</v>
      </c>
      <c r="M51" s="107">
        <v>0.0080000000000000002</v>
      </c>
      <c r="N51" s="107">
        <v>0.018000000000000002</v>
      </c>
      <c r="O51" s="107">
        <v>0.002</v>
      </c>
      <c r="P51" s="102">
        <v>0</v>
      </c>
      <c r="Q51" s="102">
        <v>0.17000000000000001</v>
      </c>
      <c r="R51" s="115">
        <v>0.076200000000000004</v>
      </c>
      <c r="S51" s="115">
        <v>0.0019</v>
      </c>
      <c r="T51" s="108">
        <f>9.74179E-18*T$3</f>
        <v>0.00097417900000000004</v>
      </c>
      <c r="U51" s="109">
        <f t="shared" si="76"/>
        <v>1.9880715705765402</v>
      </c>
      <c r="V51" s="106">
        <f>0.8304993*V$3</f>
        <v>83049.930000000008</v>
      </c>
      <c r="W51" s="106">
        <f>0.0774187*W$3</f>
        <v>7741.869999999999</v>
      </c>
      <c r="X51" s="109">
        <v>0</v>
      </c>
      <c r="Y51" s="110">
        <v>0</v>
      </c>
      <c r="Z51" s="110">
        <f>1.928458*Z$3</f>
        <v>1.928458</v>
      </c>
      <c r="AA51" s="111">
        <v>0</v>
      </c>
      <c r="AB51" s="111">
        <v>3</v>
      </c>
      <c r="AC51" s="110">
        <f>0.2026524*AC$3</f>
        <v>0.20265240000000001</v>
      </c>
      <c r="AD51" s="112">
        <f>0.0327591*AD$3</f>
        <v>0.032759099999999999</v>
      </c>
      <c r="AE51" s="110">
        <f>364.2312*AE$3</f>
        <v>364.2312</v>
      </c>
      <c r="AF51" s="110">
        <f>32.8436*AF$3</f>
        <v>32.843600000000002</v>
      </c>
      <c r="AG51" s="110">
        <f>118.5227*AG$3</f>
        <v>118.5227</v>
      </c>
      <c r="AH51" s="113">
        <f>12.83465*AH$3</f>
        <v>12.83465</v>
      </c>
      <c r="AI51" s="109">
        <f>32.58039*AI$3</f>
        <v>32.580390000000001</v>
      </c>
      <c r="AJ51" s="114">
        <v>200</v>
      </c>
      <c r="AK51" s="114">
        <v>20</v>
      </c>
      <c r="AL51" s="108">
        <f>20.95569*AL$3</f>
        <v>20.955690000000001</v>
      </c>
      <c r="AM51" s="108">
        <v>0</v>
      </c>
      <c r="AN51" s="102"/>
      <c r="AO51" s="102"/>
      <c r="AP51" s="112">
        <f>0.0022815*AP$3</f>
        <v>0.0022815000000000001</v>
      </c>
      <c r="AQ51" s="102">
        <f>2.744031*AQ$3</f>
        <v>2.7440310000000001</v>
      </c>
      <c r="AR51" s="112">
        <f>0.0027489*AR$3</f>
        <v>0.0027488999999999999</v>
      </c>
      <c r="AS51" s="102">
        <f>9.007477*AS$3</f>
        <v>9.0074769999999997</v>
      </c>
      <c r="AT51" s="110">
        <f>0.0430642*AT$3</f>
        <v>0.043064199999999997</v>
      </c>
    </row>
    <row r="52" s="102" customFormat="1" ht="12">
      <c r="A52" s="103" t="s">
        <v>874</v>
      </c>
      <c r="B52" s="102" t="s">
        <v>871</v>
      </c>
      <c r="C52" s="102" t="s">
        <v>833</v>
      </c>
      <c r="E52" s="104">
        <v>0</v>
      </c>
      <c r="F52" s="105">
        <v>0</v>
      </c>
      <c r="G52" s="105" t="s">
        <v>834</v>
      </c>
      <c r="H52" s="106">
        <f t="shared" si="77"/>
        <v>1.0129999999999999</v>
      </c>
      <c r="I52" s="106">
        <f t="shared" si="78"/>
        <v>0.004052</v>
      </c>
      <c r="J52" s="104">
        <v>100.59999999999999</v>
      </c>
      <c r="K52" s="104">
        <v>0.29999999999999999</v>
      </c>
      <c r="L52" s="115">
        <v>0.025400000000000002</v>
      </c>
      <c r="M52" s="115">
        <v>0.0014</v>
      </c>
      <c r="N52" s="107">
        <v>0.059999999999999998</v>
      </c>
      <c r="O52" s="107">
        <v>0.002</v>
      </c>
      <c r="P52" s="104">
        <v>0.10000000000000001</v>
      </c>
      <c r="Q52" s="104">
        <v>0.20000000000000001</v>
      </c>
      <c r="R52" s="107">
        <v>0.29899999999999999</v>
      </c>
      <c r="S52" s="107">
        <v>0.002</v>
      </c>
      <c r="T52" s="108">
        <f>2.725593E-18*T$3</f>
        <v>0.00027255930000000001</v>
      </c>
      <c r="U52" s="109">
        <f t="shared" si="76"/>
        <v>0.54888062926787096</v>
      </c>
      <c r="V52" s="106">
        <f>11.74618*V$3</f>
        <v>1174618</v>
      </c>
      <c r="W52" s="106">
        <f>0.6993072*W$3</f>
        <v>69930.720000000001</v>
      </c>
      <c r="X52" s="109">
        <f>0.0073191*X$3</f>
        <v>0.0073191000000000003</v>
      </c>
      <c r="Y52" s="110">
        <f>3.149137*Y$3</f>
        <v>3.1491370000000001</v>
      </c>
      <c r="Z52" s="110">
        <f>8.029394*Z$3</f>
        <v>8.0293939999999999</v>
      </c>
      <c r="AA52" s="114">
        <v>5</v>
      </c>
      <c r="AB52" s="114">
        <v>14</v>
      </c>
      <c r="AC52" s="110">
        <f>2.342348*AC$3</f>
        <v>2.3423479999999999</v>
      </c>
      <c r="AD52" s="112">
        <f>0.1667499*AD$3</f>
        <v>0.16674990000000001</v>
      </c>
      <c r="AE52" s="110">
        <f>3954.293*AE$3</f>
        <v>3954.2930000000001</v>
      </c>
      <c r="AF52" s="110">
        <f>233.3378*AF$3</f>
        <v>233.33779999999999</v>
      </c>
      <c r="AG52" s="110">
        <f>484.5581*AG$3</f>
        <v>484.55810000000002</v>
      </c>
      <c r="AH52" s="113">
        <f>45.40918*AH$3</f>
        <v>45.409179999999999</v>
      </c>
      <c r="AI52" s="109">
        <f>12.22838*AI$3</f>
        <v>12.22838</v>
      </c>
      <c r="AJ52" s="114">
        <v>720</v>
      </c>
      <c r="AK52" s="114">
        <v>60</v>
      </c>
      <c r="AL52" s="108">
        <f>55.71439*AL$3</f>
        <v>55.714390000000002</v>
      </c>
      <c r="AM52" s="108">
        <v>0</v>
      </c>
      <c r="AN52" s="102"/>
      <c r="AO52" s="102"/>
      <c r="AP52" s="112">
        <f>0.0029703*AP$3</f>
        <v>0.0029702999999999999</v>
      </c>
      <c r="AQ52" s="102">
        <f>0.9899677*AQ$3</f>
        <v>0.98996770000000001</v>
      </c>
      <c r="AR52" s="112">
        <f>0.0002524*AR$3</f>
        <v>0.00025240000000000001</v>
      </c>
      <c r="AS52" s="102">
        <f>5.937256*AS$3</f>
        <v>5.9372559999999996</v>
      </c>
      <c r="AT52" s="110">
        <f>0.0457428*AT$3</f>
        <v>0.0457428</v>
      </c>
    </row>
    <row r="53" s="102" customFormat="1" ht="12">
      <c r="A53" s="103" t="s">
        <v>875</v>
      </c>
      <c r="B53" s="102" t="s">
        <v>871</v>
      </c>
      <c r="C53" s="102" t="s">
        <v>833</v>
      </c>
      <c r="E53" s="104">
        <v>0</v>
      </c>
      <c r="F53" s="105">
        <v>0</v>
      </c>
      <c r="G53" s="105" t="s">
        <v>834</v>
      </c>
      <c r="H53" s="106">
        <f t="shared" si="77"/>
        <v>1.0129999999999999</v>
      </c>
      <c r="I53" s="106">
        <f t="shared" si="78"/>
        <v>0.004052</v>
      </c>
      <c r="J53" s="104">
        <v>65.799999999999997</v>
      </c>
      <c r="K53" s="104">
        <v>0.40000000000000002</v>
      </c>
      <c r="L53" s="107">
        <v>0.113</v>
      </c>
      <c r="M53" s="107">
        <v>0.010999999999999999</v>
      </c>
      <c r="N53" s="107">
        <v>0.032000000000000001</v>
      </c>
      <c r="O53" s="107">
        <v>0.002</v>
      </c>
      <c r="P53" s="102">
        <v>0</v>
      </c>
      <c r="Q53" s="102">
        <v>0.16</v>
      </c>
      <c r="R53" s="107">
        <v>0.14100000000000001</v>
      </c>
      <c r="S53" s="107">
        <v>0.002</v>
      </c>
      <c r="T53" s="108">
        <f>1.207755E-17*T$3</f>
        <v>0.001207755</v>
      </c>
      <c r="U53" s="109">
        <f t="shared" si="76"/>
        <v>2.4418705160342289</v>
      </c>
      <c r="V53" s="106">
        <f>1.249676*V$3</f>
        <v>124967.60000000001</v>
      </c>
      <c r="W53" s="106">
        <f>0.1300388*W$3</f>
        <v>13003.880000000001</v>
      </c>
      <c r="X53" s="109">
        <v>0</v>
      </c>
      <c r="Y53" s="110">
        <v>0</v>
      </c>
      <c r="Z53" s="110">
        <f>1.487206*Z$3</f>
        <v>1.487206</v>
      </c>
      <c r="AA53" s="111">
        <v>0</v>
      </c>
      <c r="AB53" s="111">
        <v>2</v>
      </c>
      <c r="AC53" s="110">
        <f>0.2885577*AC$3</f>
        <v>0.28855769999999997</v>
      </c>
      <c r="AD53" s="112">
        <f>0.0351718*AD$3</f>
        <v>0.035171800000000003</v>
      </c>
      <c r="AE53" s="110">
        <f>583.2207*AE$3</f>
        <v>583.22069999999997</v>
      </c>
      <c r="AF53" s="110">
        <f>60.05763*AF$3</f>
        <v>60.057630000000003</v>
      </c>
      <c r="AG53" s="110">
        <f>213.9077*AG$3</f>
        <v>213.90770000000001</v>
      </c>
      <c r="AH53" s="113">
        <f>23.09187*AH$3</f>
        <v>23.09187</v>
      </c>
      <c r="AI53" s="109">
        <f>36.68042*AI$3</f>
        <v>36.680419999999998</v>
      </c>
      <c r="AJ53" s="114">
        <v>350</v>
      </c>
      <c r="AK53" s="114">
        <v>30</v>
      </c>
      <c r="AL53" s="108">
        <f>34.70901*AL$3</f>
        <v>34.709009999999999</v>
      </c>
      <c r="AM53" s="108">
        <v>0</v>
      </c>
      <c r="AN53" s="102"/>
      <c r="AO53" s="102"/>
      <c r="AP53" s="112">
        <f>0.0021428*AP$3</f>
        <v>0.0021427999999999998</v>
      </c>
      <c r="AQ53" s="102">
        <f>1.755719*AQ$3</f>
        <v>1.755719</v>
      </c>
      <c r="AR53" s="112">
        <f>0.0017148*AR$3</f>
        <v>0.0017148</v>
      </c>
      <c r="AS53" s="102">
        <f>10.29727*AS$3</f>
        <v>10.297269999999999</v>
      </c>
      <c r="AT53" s="110">
        <f>0.0283776*AT$3</f>
        <v>0.028377599999999999</v>
      </c>
    </row>
    <row r="54" s="102" customFormat="1" ht="12">
      <c r="A54" s="103" t="s">
        <v>876</v>
      </c>
      <c r="B54" s="102" t="s">
        <v>871</v>
      </c>
      <c r="C54" s="102" t="s">
        <v>833</v>
      </c>
      <c r="E54" s="104">
        <v>0</v>
      </c>
      <c r="F54" s="105">
        <v>0</v>
      </c>
      <c r="G54" s="105" t="s">
        <v>834</v>
      </c>
      <c r="H54" s="106">
        <f t="shared" si="77"/>
        <v>1.0129999999999999</v>
      </c>
      <c r="I54" s="106">
        <f t="shared" si="78"/>
        <v>0.004052</v>
      </c>
      <c r="J54" s="104">
        <v>28.899999999999999</v>
      </c>
      <c r="K54" s="104">
        <v>0.29999999999999999</v>
      </c>
      <c r="L54" s="107">
        <v>0.080000000000000002</v>
      </c>
      <c r="M54" s="107">
        <v>0.002</v>
      </c>
      <c r="N54" s="115">
        <v>0.0118</v>
      </c>
      <c r="O54" s="115">
        <v>0.0018000000000000002</v>
      </c>
      <c r="P54" s="102">
        <v>0.38</v>
      </c>
      <c r="Q54" s="102">
        <v>0.17000000000000001</v>
      </c>
      <c r="R54" s="107">
        <v>0.027</v>
      </c>
      <c r="S54" s="107">
        <v>0.002</v>
      </c>
      <c r="T54" s="108">
        <f>8.533659E-18*T$3</f>
        <v>0.0008533658999999999</v>
      </c>
      <c r="U54" s="109">
        <f t="shared" si="76"/>
        <v>1.7287578874578611</v>
      </c>
      <c r="V54" s="106">
        <f>0.3423665*V$3</f>
        <v>34236.650000000001</v>
      </c>
      <c r="W54" s="106">
        <f>0.0330243*W$3</f>
        <v>3302.4299999999998</v>
      </c>
      <c r="X54" s="109">
        <f>0.3805395*X$3</f>
        <v>0.38053949999999997</v>
      </c>
      <c r="Y54" s="110">
        <f>4.772308*Y$3</f>
        <v>4.7723079999999998</v>
      </c>
      <c r="Z54" s="110">
        <f>2.222631*Z$3</f>
        <v>2.2226309999999998</v>
      </c>
      <c r="AA54" s="111">
        <v>8</v>
      </c>
      <c r="AB54" s="111">
        <v>4</v>
      </c>
      <c r="AC54" s="110">
        <f>0.146943*AC$3</f>
        <v>0.14694299999999999</v>
      </c>
      <c r="AD54" s="112">
        <f>0.024254*AD$3</f>
        <v>0.024254000000000001</v>
      </c>
      <c r="AE54" s="110">
        <f>361.718*AE$3</f>
        <v>361.71800000000002</v>
      </c>
      <c r="AF54" s="110">
        <f>12.95882*AF$3</f>
        <v>12.958819999999999</v>
      </c>
      <c r="AG54" s="110">
        <f>261.7578*AG$3</f>
        <v>261.75779999999997</v>
      </c>
      <c r="AH54" s="113">
        <f>13.50109*AH$3</f>
        <v>13.50109</v>
      </c>
      <c r="AI54" s="109">
        <f>72.13693*AI$3</f>
        <v>72.136930000000007</v>
      </c>
      <c r="AJ54" s="114">
        <v>424</v>
      </c>
      <c r="AK54" s="114">
        <v>20</v>
      </c>
      <c r="AL54" s="108">
        <f>19.56095*AL$3</f>
        <v>19.560949999999998</v>
      </c>
      <c r="AM54" s="108">
        <v>0</v>
      </c>
      <c r="AN54" s="102"/>
      <c r="AO54" s="102"/>
      <c r="AP54" s="112">
        <f>0.0009429*AP$3</f>
        <v>0.00094289999999999999</v>
      </c>
      <c r="AQ54" s="102">
        <f>9.159456*AQ$3</f>
        <v>9.1594560000000005</v>
      </c>
      <c r="AR54" s="112">
        <f>0.0027559*AR$3</f>
        <v>0.0027558999999999999</v>
      </c>
      <c r="AS54" s="102">
        <f>3.595748*AS$3</f>
        <v>3.5957479999999999</v>
      </c>
      <c r="AT54" s="110">
        <f>0.0483892*AT$3</f>
        <v>0.0483892</v>
      </c>
    </row>
    <row r="55" s="102" customFormat="1" ht="12">
      <c r="A55" s="103" t="s">
        <v>877</v>
      </c>
      <c r="B55" s="102" t="s">
        <v>871</v>
      </c>
      <c r="C55" s="102" t="s">
        <v>833</v>
      </c>
      <c r="E55" s="104">
        <v>0</v>
      </c>
      <c r="F55" s="105">
        <v>0</v>
      </c>
      <c r="G55" s="105" t="s">
        <v>834</v>
      </c>
      <c r="H55" s="106">
        <f t="shared" si="77"/>
        <v>1.0129999999999999</v>
      </c>
      <c r="I55" s="106">
        <f t="shared" si="78"/>
        <v>0.004052</v>
      </c>
      <c r="J55" s="104">
        <v>23.300000000000001</v>
      </c>
      <c r="K55" s="104">
        <v>0.29999999999999999</v>
      </c>
      <c r="L55" s="107">
        <v>0.026000000000000002</v>
      </c>
      <c r="M55" s="107">
        <v>0.0030000000000000001</v>
      </c>
      <c r="N55" s="107">
        <v>0.013000000000000001</v>
      </c>
      <c r="O55" s="107">
        <v>0.0030000000000000001</v>
      </c>
      <c r="P55" s="104">
        <v>0.40000000000000002</v>
      </c>
      <c r="Q55" s="104">
        <v>0.20000000000000001</v>
      </c>
      <c r="R55" s="107">
        <v>0.050000000000000003</v>
      </c>
      <c r="S55" s="107">
        <v>0.002</v>
      </c>
      <c r="T55" s="108">
        <f>2.820129E-18*T$3</f>
        <v>0.00028201289999999998</v>
      </c>
      <c r="U55" s="109">
        <f t="shared" si="76"/>
        <v>0.56184631342380487</v>
      </c>
      <c r="V55" s="106">
        <f>1.893655*V$3</f>
        <v>189365.5</v>
      </c>
      <c r="W55" s="106">
        <f>0.2124621*W$3</f>
        <v>21246.209999999999</v>
      </c>
      <c r="X55" s="109">
        <f>0.207914*X$3</f>
        <v>0.20791399999999999</v>
      </c>
      <c r="Y55" s="110">
        <f>14.42188*Y$3</f>
        <v>14.42188</v>
      </c>
      <c r="Z55" s="110">
        <f>8.705459*Z$3</f>
        <v>8.7054589999999994</v>
      </c>
      <c r="AA55" s="114">
        <v>24</v>
      </c>
      <c r="AB55" s="114">
        <v>15</v>
      </c>
      <c r="AC55" s="110">
        <f>0.496548*AC$3</f>
        <v>0.49654799999999999</v>
      </c>
      <c r="AD55" s="112">
        <f>0.1190116*AD$3</f>
        <v>0.1190116</v>
      </c>
      <c r="AE55" s="110">
        <f>881.7521*AE$3</f>
        <v>881.75210000000004</v>
      </c>
      <c r="AF55" s="110">
        <f>92.48117*AF$3</f>
        <v>92.481170000000006</v>
      </c>
      <c r="AG55" s="110">
        <f>326.4608*AG$3</f>
        <v>326.46080000000001</v>
      </c>
      <c r="AH55" s="113">
        <f>44.192*AH$3</f>
        <v>44.192</v>
      </c>
      <c r="AI55" s="109">
        <f>36.66987*AI$3</f>
        <v>36.669870000000003</v>
      </c>
      <c r="AJ55" s="114">
        <v>520</v>
      </c>
      <c r="AK55" s="114">
        <v>60</v>
      </c>
      <c r="AL55" s="108">
        <f>60.7178*AL$3</f>
        <v>60.717799999999997</v>
      </c>
      <c r="AM55" s="108">
        <v>0</v>
      </c>
      <c r="AN55" s="102"/>
      <c r="AO55" s="102"/>
      <c r="AP55" s="112">
        <f>0.0021432*AP$3</f>
        <v>0.0021432000000000001</v>
      </c>
      <c r="AQ55" s="102">
        <f>4.568412*AQ$3</f>
        <v>4.5684120000000004</v>
      </c>
      <c r="AR55" s="112">
        <f>0.0011233*AR$3</f>
        <v>0.0011233</v>
      </c>
      <c r="AS55" s="102">
        <f>10.60317*AS$3</f>
        <v>10.60317</v>
      </c>
      <c r="AT55" s="110">
        <f>0.0524776*AT$3</f>
        <v>0.052477599999999999</v>
      </c>
    </row>
    <row r="56" s="102" customFormat="1" ht="12">
      <c r="A56" s="103"/>
      <c r="E56" s="104"/>
      <c r="F56" s="105"/>
      <c r="G56" s="105"/>
      <c r="H56" s="106"/>
      <c r="I56" s="106"/>
      <c r="J56" s="102"/>
      <c r="K56" s="102"/>
      <c r="L56" s="115"/>
      <c r="M56" s="115"/>
      <c r="N56" s="115"/>
      <c r="O56" s="115"/>
      <c r="P56" s="102"/>
      <c r="Q56" s="102"/>
      <c r="R56" s="115"/>
      <c r="S56" s="115"/>
      <c r="T56" s="108"/>
      <c r="U56" s="109"/>
      <c r="V56" s="106"/>
      <c r="W56" s="106"/>
      <c r="X56" s="109"/>
      <c r="Y56" s="110"/>
      <c r="Z56" s="110"/>
      <c r="AA56" s="114"/>
      <c r="AB56" s="114"/>
      <c r="AC56" s="110"/>
      <c r="AD56" s="112"/>
      <c r="AE56" s="110"/>
      <c r="AF56" s="110"/>
      <c r="AG56" s="110"/>
      <c r="AH56" s="113"/>
      <c r="AI56" s="109"/>
      <c r="AJ56" s="116"/>
      <c r="AK56" s="116"/>
      <c r="AL56" s="108"/>
      <c r="AM56" s="108"/>
      <c r="AN56" s="102"/>
      <c r="AO56" s="102"/>
      <c r="AP56" s="112"/>
      <c r="AQ56" s="102"/>
      <c r="AR56" s="112"/>
      <c r="AS56" s="102"/>
      <c r="AT56" s="110"/>
    </row>
    <row r="57" s="102" customFormat="1" ht="12">
      <c r="A57" s="103" t="s">
        <v>878</v>
      </c>
      <c r="B57" s="102" t="s">
        <v>879</v>
      </c>
      <c r="C57" s="102" t="s">
        <v>833</v>
      </c>
      <c r="E57" s="104">
        <v>0</v>
      </c>
      <c r="F57" s="105">
        <v>0</v>
      </c>
      <c r="G57" s="105" t="s">
        <v>834</v>
      </c>
      <c r="H57" s="106">
        <f t="shared" si="77"/>
        <v>1.0129999999999999</v>
      </c>
      <c r="I57" s="106">
        <f t="shared" si="78"/>
        <v>0.004052</v>
      </c>
      <c r="J57" s="104">
        <v>9.5999999999999996</v>
      </c>
      <c r="K57" s="104">
        <v>0.29999999999999999</v>
      </c>
      <c r="L57" s="107">
        <v>0.10200000000000001</v>
      </c>
      <c r="M57" s="107">
        <v>0.0040000000000000001</v>
      </c>
      <c r="N57" s="115">
        <v>0.00069999999999999999</v>
      </c>
      <c r="O57" s="115">
        <v>0.002</v>
      </c>
      <c r="P57" s="104">
        <v>0.69999999999999996</v>
      </c>
      <c r="Q57" s="104">
        <v>0.20000000000000001</v>
      </c>
      <c r="R57" s="107">
        <v>0</v>
      </c>
      <c r="S57" s="107">
        <v>0.0030000000000000001</v>
      </c>
      <c r="T57" s="108">
        <f>1.096512E-17*T$3</f>
        <v>0.001096512</v>
      </c>
      <c r="U57" s="109">
        <f t="shared" si="76"/>
        <v>2.2041663065087733</v>
      </c>
      <c r="V57" s="106">
        <v>0</v>
      </c>
      <c r="W57" s="106">
        <f>0.0302606*W$3</f>
        <v>3026.0599999999999</v>
      </c>
      <c r="X57" s="109">
        <v>0</v>
      </c>
      <c r="Y57" s="110">
        <f>7.098045*Y$3</f>
        <v>7.0980449999999999</v>
      </c>
      <c r="Z57" s="110">
        <f>2.127795*Z$3</f>
        <v>2.1277949999999999</v>
      </c>
      <c r="AA57" s="111">
        <v>12</v>
      </c>
      <c r="AB57" s="111">
        <v>4</v>
      </c>
      <c r="AC57" s="110">
        <f>0.0067833*AC$3</f>
        <v>0.0067832999999999999</v>
      </c>
      <c r="AD57" s="112">
        <f>0.0201001*AD$3</f>
        <v>0.020100099999999999</v>
      </c>
      <c r="AE57" s="110">
        <f>93.82305*AE$3</f>
        <v>93.823049999999995</v>
      </c>
      <c r="AF57" s="110">
        <f>5.228393*AF$3</f>
        <v>5.2283929999999996</v>
      </c>
      <c r="AG57" s="110">
        <f>101.2367*AG$3</f>
        <v>101.2367</v>
      </c>
      <c r="AH57" s="113">
        <f>10.5553*AH$3</f>
        <v>10.555300000000001</v>
      </c>
      <c r="AI57" s="109">
        <f>107.3991*AI$3</f>
        <v>107.3991</v>
      </c>
      <c r="AJ57" s="114">
        <v>176</v>
      </c>
      <c r="AK57" s="114">
        <v>17</v>
      </c>
      <c r="AL57" s="108">
        <f>17.50875*AL$3</f>
        <v>17.508749999999999</v>
      </c>
      <c r="AM57" s="108">
        <v>0</v>
      </c>
      <c r="AN57" s="102"/>
      <c r="AO57" s="102"/>
      <c r="AP57" s="112">
        <v>0</v>
      </c>
      <c r="AQ57" s="102">
        <v>0</v>
      </c>
      <c r="AR57" s="112">
        <f>0.0106087*AR$3</f>
        <v>0.0106087</v>
      </c>
      <c r="AS57" s="102">
        <f>5.59265*AS$3</f>
        <v>5.5926499999999999</v>
      </c>
      <c r="AT57" s="110">
        <f>0.0138986*AT$3</f>
        <v>0.013898600000000001</v>
      </c>
    </row>
    <row r="58" s="102" customFormat="1" ht="12">
      <c r="A58" s="103" t="s">
        <v>880</v>
      </c>
      <c r="B58" s="102" t="s">
        <v>879</v>
      </c>
      <c r="C58" s="102" t="s">
        <v>833</v>
      </c>
      <c r="E58" s="104">
        <v>0</v>
      </c>
      <c r="F58" s="105">
        <v>0</v>
      </c>
      <c r="G58" s="105" t="s">
        <v>834</v>
      </c>
      <c r="H58" s="106">
        <f t="shared" si="77"/>
        <v>1.0129999999999999</v>
      </c>
      <c r="I58" s="106">
        <f t="shared" si="78"/>
        <v>0.004052</v>
      </c>
      <c r="J58" s="104">
        <v>54.600000000000001</v>
      </c>
      <c r="K58" s="104">
        <v>0.5</v>
      </c>
      <c r="L58" s="107">
        <v>0.246</v>
      </c>
      <c r="M58" s="107">
        <v>0.0040000000000000001</v>
      </c>
      <c r="N58" s="107">
        <v>0.01</v>
      </c>
      <c r="O58" s="107">
        <v>0.002</v>
      </c>
      <c r="P58" s="102">
        <v>0</v>
      </c>
      <c r="Q58" s="102">
        <v>0.17000000000000001</v>
      </c>
      <c r="R58" s="107">
        <v>0</v>
      </c>
      <c r="S58" s="107">
        <v>0.0090000000000000011</v>
      </c>
      <c r="T58" s="108">
        <f>2.634889E-17*T$3</f>
        <v>0.0026348890000000001</v>
      </c>
      <c r="U58" s="109">
        <f t="shared" si="76"/>
        <v>5.3159305039329237</v>
      </c>
      <c r="V58" s="106">
        <v>0</v>
      </c>
      <c r="W58" s="106">
        <f>0.039256*W$3</f>
        <v>3925.5999999999999</v>
      </c>
      <c r="X58" s="109">
        <f>0.1495824*X$3</f>
        <v>0.1495824</v>
      </c>
      <c r="Y58" s="110">
        <v>0</v>
      </c>
      <c r="Z58" s="110">
        <f>0.6964503*Z$3</f>
        <v>0.69645029999999997</v>
      </c>
      <c r="AA58" s="104">
        <v>0</v>
      </c>
      <c r="AB58" s="104">
        <v>1.2</v>
      </c>
      <c r="AC58" s="110">
        <f>0.0424008*AC$3</f>
        <v>0.042400800000000002</v>
      </c>
      <c r="AD58" s="112">
        <f>0.0092903*AD$3</f>
        <v>0.0092902999999999996</v>
      </c>
      <c r="AE58" s="110">
        <f>222.2354*AE$3</f>
        <v>222.2354</v>
      </c>
      <c r="AF58" s="110">
        <f>4.727774*AF$3</f>
        <v>4.7277740000000001</v>
      </c>
      <c r="AG58" s="110">
        <f>449.5695*AG$3</f>
        <v>449.56950000000001</v>
      </c>
      <c r="AH58" s="113">
        <f>13.86535*AH$3</f>
        <v>13.865349999999999</v>
      </c>
      <c r="AI58" s="109">
        <f>202.869*AI$3</f>
        <v>202.869</v>
      </c>
      <c r="AJ58" s="114">
        <v>677</v>
      </c>
      <c r="AK58" s="114">
        <v>17</v>
      </c>
      <c r="AL58" s="108">
        <f>17.55623*AL$3</f>
        <v>17.556229999999999</v>
      </c>
      <c r="AM58" s="108">
        <v>0</v>
      </c>
      <c r="AN58" s="102"/>
      <c r="AO58" s="102"/>
      <c r="AP58" s="112">
        <v>0</v>
      </c>
      <c r="AQ58" s="102">
        <v>0</v>
      </c>
      <c r="AR58" s="112">
        <f>0.0045125*AR$3</f>
        <v>0.0045125</v>
      </c>
      <c r="AS58" s="102">
        <f>2.123176*AS$3</f>
        <v>2.123176</v>
      </c>
      <c r="AT58" s="110">
        <f>0.1030664*AT$3</f>
        <v>0.1030664</v>
      </c>
    </row>
    <row r="59" s="102" customFormat="1" ht="12">
      <c r="A59" s="103" t="s">
        <v>881</v>
      </c>
      <c r="B59" s="102" t="s">
        <v>882</v>
      </c>
      <c r="C59" s="102" t="s">
        <v>833</v>
      </c>
      <c r="E59" s="104">
        <v>0</v>
      </c>
      <c r="F59" s="105">
        <v>0</v>
      </c>
      <c r="G59" s="105" t="s">
        <v>834</v>
      </c>
      <c r="H59" s="106">
        <f t="shared" si="77"/>
        <v>1.0129999999999999</v>
      </c>
      <c r="I59" s="106">
        <f t="shared" si="78"/>
        <v>0.004052</v>
      </c>
      <c r="J59" s="104">
        <v>0</v>
      </c>
      <c r="K59" s="104">
        <v>0.29999999999999999</v>
      </c>
      <c r="L59" s="107">
        <v>0.155</v>
      </c>
      <c r="M59" s="107">
        <v>0.0040000000000000001</v>
      </c>
      <c r="N59" s="107">
        <v>0</v>
      </c>
      <c r="O59" s="107">
        <v>0.0050000000000000001</v>
      </c>
      <c r="P59" s="104">
        <v>0</v>
      </c>
      <c r="Q59" s="104">
        <v>0.80000000000000004</v>
      </c>
      <c r="R59" s="107">
        <v>0</v>
      </c>
      <c r="S59" s="107">
        <v>0.0030000000000000001</v>
      </c>
      <c r="T59" s="108">
        <f>1.643472E-17*T$3</f>
        <v>0.001643472</v>
      </c>
      <c r="U59" s="109">
        <f t="shared" si="76"/>
        <v>3.3494684069496059</v>
      </c>
      <c r="V59" s="106">
        <v>0</v>
      </c>
      <c r="W59" s="106">
        <f>0.0304418*W$3</f>
        <v>3044.1800000000003</v>
      </c>
      <c r="X59" s="109">
        <f>0.7723308*X$3</f>
        <v>0.77233079999999998</v>
      </c>
      <c r="Y59" s="110">
        <v>0</v>
      </c>
      <c r="Z59" s="110">
        <f>5.618943*Z$3</f>
        <v>5.6189429999999998</v>
      </c>
      <c r="AA59" s="111">
        <v>0</v>
      </c>
      <c r="AB59" s="111">
        <v>10</v>
      </c>
      <c r="AC59" s="110">
        <v>0</v>
      </c>
      <c r="AD59" s="112">
        <f>0.0321588*AD$3</f>
        <v>0.032158800000000001</v>
      </c>
      <c r="AE59" s="110">
        <v>0</v>
      </c>
      <c r="AF59" s="110">
        <f>2.591692*AF$3</f>
        <v>2.5916920000000001</v>
      </c>
      <c r="AG59" s="110">
        <f>182.0321*AG$3</f>
        <v>182.03210000000001</v>
      </c>
      <c r="AH59" s="113">
        <f>7.845625*AH$3</f>
        <v>7.8456250000000001</v>
      </c>
      <c r="AI59" s="109">
        <v>0</v>
      </c>
      <c r="AJ59" s="114">
        <v>305</v>
      </c>
      <c r="AK59" s="114">
        <v>12</v>
      </c>
      <c r="AL59" s="108">
        <f>12.15784*AL$3</f>
        <v>12.15784</v>
      </c>
      <c r="AM59" s="108">
        <v>0</v>
      </c>
      <c r="AN59" s="102"/>
      <c r="AO59" s="102"/>
      <c r="AP59" s="112">
        <f>0.0134108*AP$3</f>
        <v>0.0134108</v>
      </c>
      <c r="AQ59" s="102">
        <f>3.835669*AQ$3</f>
        <v>3.8356690000000002</v>
      </c>
      <c r="AR59" s="112">
        <v>0</v>
      </c>
      <c r="AS59" s="102">
        <v>0</v>
      </c>
      <c r="AT59" s="110">
        <f>0.5937168*AT$3</f>
        <v>0.59371680000000004</v>
      </c>
    </row>
    <row r="60" s="102" customFormat="1" ht="12">
      <c r="A60" s="103" t="s">
        <v>883</v>
      </c>
      <c r="B60" s="102" t="s">
        <v>882</v>
      </c>
      <c r="C60" s="102" t="s">
        <v>833</v>
      </c>
      <c r="E60" s="104">
        <v>0</v>
      </c>
      <c r="F60" s="105">
        <v>0</v>
      </c>
      <c r="G60" s="105" t="s">
        <v>834</v>
      </c>
      <c r="H60" s="106">
        <f t="shared" si="77"/>
        <v>1.0129999999999999</v>
      </c>
      <c r="I60" s="106">
        <f t="shared" si="78"/>
        <v>0.004052</v>
      </c>
      <c r="J60" s="104">
        <v>15.4</v>
      </c>
      <c r="K60" s="104">
        <v>0.40000000000000002</v>
      </c>
      <c r="L60" s="107">
        <v>0.043999999999999997</v>
      </c>
      <c r="M60" s="107">
        <v>0.002</v>
      </c>
      <c r="N60" s="107">
        <v>0.0070000000000000001</v>
      </c>
      <c r="O60" s="107">
        <v>0.002</v>
      </c>
      <c r="P60" s="104">
        <v>0.10000000000000001</v>
      </c>
      <c r="Q60" s="104">
        <v>0.20000000000000001</v>
      </c>
      <c r="R60" s="107">
        <v>0.014999999999999999</v>
      </c>
      <c r="S60" s="107">
        <v>0.002</v>
      </c>
      <c r="T60" s="108">
        <f>4.654295E-18*T$3</f>
        <v>0.00046542950000000001</v>
      </c>
      <c r="U60" s="109">
        <f t="shared" si="76"/>
        <v>0.95081683810182349</v>
      </c>
      <c r="V60" s="106">
        <f>0.3475614*V$3</f>
        <v>34756.139999999999</v>
      </c>
      <c r="W60" s="106">
        <f>0.0554912*W$3</f>
        <v>5549.1199999999999</v>
      </c>
      <c r="X60" s="109">
        <f>0.1292349*X$3</f>
        <v>0.12923490000000001</v>
      </c>
      <c r="Y60" s="110">
        <f>1.645314*Y$3</f>
        <v>1.6453139999999999</v>
      </c>
      <c r="Z60" s="110">
        <f>5.121688*Z$3</f>
        <v>5.1216879999999998</v>
      </c>
      <c r="AA60" s="111">
        <v>3</v>
      </c>
      <c r="AB60" s="111">
        <v>9</v>
      </c>
      <c r="AC60" s="110">
        <f>0.1534926*AC$3</f>
        <v>0.15349260000000001</v>
      </c>
      <c r="AD60" s="112">
        <f>0.0525553*AD$3</f>
        <v>0.052555299999999999</v>
      </c>
      <c r="AE60" s="110">
        <f>350.7108*AE$3</f>
        <v>350.71080000000001</v>
      </c>
      <c r="AF60" s="110">
        <f>22.39518*AF$3</f>
        <v>22.39518</v>
      </c>
      <c r="AG60" s="110">
        <f>248.4053*AG$3</f>
        <v>248.40530000000001</v>
      </c>
      <c r="AH60" s="113">
        <f>22.88552*AH$3</f>
        <v>22.88552</v>
      </c>
      <c r="AI60" s="109">
        <f>70.75278*AI$3</f>
        <v>70.752780000000001</v>
      </c>
      <c r="AJ60" s="114">
        <v>400</v>
      </c>
      <c r="AK60" s="114">
        <v>30</v>
      </c>
      <c r="AL60" s="108">
        <f>33.44697*AL$3</f>
        <v>33.44697</v>
      </c>
      <c r="AM60" s="108">
        <v>0</v>
      </c>
      <c r="AN60" s="102"/>
      <c r="AO60" s="102"/>
      <c r="AP60" s="112">
        <f>0.0009898*AP$3</f>
        <v>0.0009898000000000001</v>
      </c>
      <c r="AQ60" s="102">
        <f>15.06799*AQ$3</f>
        <v>15.06799</v>
      </c>
      <c r="AR60" s="112">
        <f>0.0028483*AR$3</f>
        <v>0.0028482999999999998</v>
      </c>
      <c r="AS60" s="102">
        <f>6.400749*AS$3</f>
        <v>6.4007490000000002</v>
      </c>
      <c r="AT60" s="110">
        <f>0.0639184*AT$3</f>
        <v>0.0639184</v>
      </c>
    </row>
    <row r="61" s="102" customFormat="1" ht="12">
      <c r="A61" s="103" t="s">
        <v>884</v>
      </c>
      <c r="B61" s="102" t="s">
        <v>885</v>
      </c>
      <c r="C61" s="102" t="s">
        <v>833</v>
      </c>
      <c r="E61" s="104">
        <v>0</v>
      </c>
      <c r="F61" s="105">
        <v>0</v>
      </c>
      <c r="G61" s="105" t="s">
        <v>834</v>
      </c>
      <c r="H61" s="106">
        <f t="shared" si="77"/>
        <v>1.0129999999999999</v>
      </c>
      <c r="I61" s="106">
        <f t="shared" si="78"/>
        <v>0.004052</v>
      </c>
      <c r="J61" s="104">
        <v>20</v>
      </c>
      <c r="K61" s="104">
        <v>0.40000000000000002</v>
      </c>
      <c r="L61" s="107">
        <v>0.252</v>
      </c>
      <c r="M61" s="107">
        <v>0.0040000000000000001</v>
      </c>
      <c r="N61" s="107">
        <v>0</v>
      </c>
      <c r="O61" s="107">
        <v>0.002</v>
      </c>
      <c r="P61" s="104">
        <v>0</v>
      </c>
      <c r="Q61" s="104">
        <v>0.20000000000000001</v>
      </c>
      <c r="R61" s="107">
        <v>0</v>
      </c>
      <c r="S61" s="107">
        <v>0.0030000000000000001</v>
      </c>
      <c r="T61" s="108">
        <f>2.824578E-17*T$3</f>
        <v>0.0028245779999999999</v>
      </c>
      <c r="U61" s="109">
        <f t="shared" si="76"/>
        <v>5.4455873454922621</v>
      </c>
      <c r="V61" s="106">
        <v>0</v>
      </c>
      <c r="W61" s="106">
        <f>0.0128221*W$3</f>
        <v>1282.21</v>
      </c>
      <c r="X61" s="109">
        <f>0.1812571*X$3</f>
        <v>0.1812571</v>
      </c>
      <c r="Y61" s="110">
        <v>0</v>
      </c>
      <c r="Z61" s="110">
        <f>0.9574132*Z$3</f>
        <v>0.95741319999999996</v>
      </c>
      <c r="AA61" s="104">
        <v>0</v>
      </c>
      <c r="AB61" s="104">
        <v>1.6000000000000001</v>
      </c>
      <c r="AC61" s="110">
        <v>0</v>
      </c>
      <c r="AD61" s="112">
        <f>0.0100246*AD$3</f>
        <v>0.0100246</v>
      </c>
      <c r="AE61" s="110">
        <f>79.36386*AE$3</f>
        <v>79.363860000000003</v>
      </c>
      <c r="AF61" s="110">
        <f>2.123464*AF$3</f>
        <v>2.1234639999999998</v>
      </c>
      <c r="AG61" s="110">
        <f>153.0027*AG$3</f>
        <v>153.0027</v>
      </c>
      <c r="AH61" s="113">
        <f>4.725713*AH$3</f>
        <v>4.7257129999999998</v>
      </c>
      <c r="AI61" s="109">
        <f>193.0114*AI$3</f>
        <v>193.01140000000001</v>
      </c>
      <c r="AJ61" s="111">
        <v>260</v>
      </c>
      <c r="AK61" s="111">
        <v>7</v>
      </c>
      <c r="AL61" s="108">
        <f>7.539886*AL$3</f>
        <v>7.5398860000000001</v>
      </c>
      <c r="AM61" s="108">
        <v>0</v>
      </c>
      <c r="AN61" s="102"/>
      <c r="AO61" s="102"/>
      <c r="AP61" s="112">
        <v>0</v>
      </c>
      <c r="AQ61" s="102">
        <v>0</v>
      </c>
      <c r="AR61" s="112">
        <f>0.0126149*AR$3</f>
        <v>0.0126149</v>
      </c>
      <c r="AS61" s="102">
        <f>2.675311*AS$3</f>
        <v>2.6753110000000002</v>
      </c>
      <c r="AT61" s="110">
        <f>0.302933*AT$3</f>
        <v>0.30293300000000001</v>
      </c>
    </row>
    <row r="62" s="102" customFormat="1" ht="12">
      <c r="A62" s="103" t="s">
        <v>886</v>
      </c>
      <c r="B62" s="102" t="s">
        <v>887</v>
      </c>
      <c r="C62" s="102" t="s">
        <v>833</v>
      </c>
      <c r="E62" s="104">
        <v>0</v>
      </c>
      <c r="F62" s="105">
        <v>0</v>
      </c>
      <c r="G62" s="105" t="s">
        <v>834</v>
      </c>
      <c r="H62" s="106">
        <f t="shared" si="77"/>
        <v>1.0129999999999999</v>
      </c>
      <c r="I62" s="106">
        <f t="shared" si="78"/>
        <v>0.004052</v>
      </c>
      <c r="J62" s="104">
        <v>5.2000000000000002</v>
      </c>
      <c r="K62" s="104">
        <v>0.29999999999999999</v>
      </c>
      <c r="L62" s="115">
        <v>0.031100000000000003</v>
      </c>
      <c r="M62" s="115">
        <v>0.0017000000000000001</v>
      </c>
      <c r="N62" s="107">
        <v>0.012</v>
      </c>
      <c r="O62" s="107">
        <v>0.0050000000000000001</v>
      </c>
      <c r="P62" s="102">
        <v>0</v>
      </c>
      <c r="Q62" s="102">
        <v>0.20000000000000001</v>
      </c>
      <c r="R62" s="107">
        <v>0.001</v>
      </c>
      <c r="S62" s="107">
        <v>0.002</v>
      </c>
      <c r="T62" s="108">
        <f>3.295129E-18*T$3</f>
        <v>0.00032951289999999999</v>
      </c>
      <c r="U62" s="109">
        <f t="shared" si="76"/>
        <v>0.6720546287492436</v>
      </c>
      <c r="V62" s="106">
        <f>0.043771*V$3</f>
        <v>4377.0999999999995</v>
      </c>
      <c r="W62" s="106">
        <f>0.0670166*W$3</f>
        <v>6701.6599999999999</v>
      </c>
      <c r="X62" s="109">
        <v>0</v>
      </c>
      <c r="Y62" s="110">
        <v>0</v>
      </c>
      <c r="Z62" s="110">
        <f>6.656416*Z$3</f>
        <v>6.6564160000000001</v>
      </c>
      <c r="AA62" s="114">
        <v>0</v>
      </c>
      <c r="AB62" s="114">
        <v>11</v>
      </c>
      <c r="AC62" s="110">
        <f>0.3921277*AC$3</f>
        <v>0.39212770000000002</v>
      </c>
      <c r="AD62" s="112">
        <f>0.1707938*AD$3</f>
        <v>0.1707938</v>
      </c>
      <c r="AE62" s="110">
        <f>168.4943*AE$3</f>
        <v>168.49430000000001</v>
      </c>
      <c r="AF62" s="110">
        <f>13.9807*AF$3</f>
        <v>13.980700000000001</v>
      </c>
      <c r="AG62" s="110">
        <f>150.709*AG$3</f>
        <v>150.709</v>
      </c>
      <c r="AH62" s="113">
        <f>23.47165*AH$3</f>
        <v>23.47165</v>
      </c>
      <c r="AI62" s="109">
        <f>91.03945*AI$3</f>
        <v>91.039450000000002</v>
      </c>
      <c r="AJ62" s="114">
        <v>260</v>
      </c>
      <c r="AK62" s="114">
        <v>40</v>
      </c>
      <c r="AL62" s="108">
        <f>37.22605*AL$3</f>
        <v>37.226050000000001</v>
      </c>
      <c r="AM62" s="108">
        <v>0</v>
      </c>
      <c r="AN62" s="102"/>
      <c r="AO62" s="102"/>
      <c r="AP62" s="112">
        <f>0.0003032*AP$3</f>
        <v>0.0003032</v>
      </c>
      <c r="AQ62" s="102">
        <f>131.2711*AQ$3</f>
        <v>131.27109999999999</v>
      </c>
      <c r="AR62" s="112">
        <f>0.0060407*AR$3</f>
        <v>0.0060407000000000004</v>
      </c>
      <c r="AS62" s="102">
        <f>8.242771*AS$3</f>
        <v>8.2427709999999994</v>
      </c>
      <c r="AT62" s="110">
        <f>0.0347196*AT$3</f>
        <v>0.034719600000000003</v>
      </c>
    </row>
    <row r="63" s="102" customFormat="1" ht="12">
      <c r="A63" s="103" t="s">
        <v>888</v>
      </c>
      <c r="B63" s="102" t="s">
        <v>887</v>
      </c>
      <c r="C63" s="102" t="s">
        <v>833</v>
      </c>
      <c r="E63" s="104">
        <v>0</v>
      </c>
      <c r="F63" s="105">
        <v>0</v>
      </c>
      <c r="G63" s="105" t="s">
        <v>834</v>
      </c>
      <c r="H63" s="106">
        <f t="shared" si="77"/>
        <v>1.0129999999999999</v>
      </c>
      <c r="I63" s="106">
        <f t="shared" si="78"/>
        <v>0.004052</v>
      </c>
      <c r="J63" s="104">
        <v>45.700000000000003</v>
      </c>
      <c r="K63" s="104">
        <v>0.5</v>
      </c>
      <c r="L63" s="107">
        <v>0.216</v>
      </c>
      <c r="M63" s="107">
        <v>0.0050000000000000001</v>
      </c>
      <c r="N63" s="107">
        <v>0.0040000000000000001</v>
      </c>
      <c r="O63" s="107">
        <v>0.002</v>
      </c>
      <c r="P63" s="104">
        <v>0</v>
      </c>
      <c r="Q63" s="104">
        <v>0.20000000000000001</v>
      </c>
      <c r="R63" s="107">
        <v>0</v>
      </c>
      <c r="S63" s="107">
        <v>0.002</v>
      </c>
      <c r="T63" s="108">
        <f>2.303532E-17*T$3</f>
        <v>0.0023035320000000001</v>
      </c>
      <c r="U63" s="109">
        <f t="shared" si="76"/>
        <v>4.6676462961362253</v>
      </c>
      <c r="V63" s="106">
        <v>0</v>
      </c>
      <c r="W63" s="106">
        <f>0.0105908*W$3</f>
        <v>1059.0799999999999</v>
      </c>
      <c r="X63" s="109">
        <f>0.661406*X$3</f>
        <v>0.66140600000000005</v>
      </c>
      <c r="Y63" s="110">
        <v>0</v>
      </c>
      <c r="Z63" s="110">
        <f>1.03974*Z$3</f>
        <v>1.0397400000000001</v>
      </c>
      <c r="AA63" s="104">
        <v>0</v>
      </c>
      <c r="AB63" s="104">
        <v>1.8</v>
      </c>
      <c r="AC63" s="110">
        <f>0.0180353*AC$3</f>
        <v>0.018035300000000001</v>
      </c>
      <c r="AD63" s="112">
        <f>0.0111498*AD$3</f>
        <v>0.0111498</v>
      </c>
      <c r="AE63" s="110">
        <f>211.0439*AE$3</f>
        <v>211.04390000000001</v>
      </c>
      <c r="AF63" s="110">
        <f>6.084169*AF$3</f>
        <v>6.0841690000000002</v>
      </c>
      <c r="AG63" s="110">
        <f>228.5979*AG$3</f>
        <v>228.59790000000001</v>
      </c>
      <c r="AH63" s="113">
        <f>7.209726*AH$3</f>
        <v>7.2097259999999999</v>
      </c>
      <c r="AI63" s="109">
        <f>108.4258*AI$3</f>
        <v>108.4258</v>
      </c>
      <c r="AJ63" s="114">
        <v>376</v>
      </c>
      <c r="AK63" s="114">
        <v>11</v>
      </c>
      <c r="AL63" s="108">
        <f>10.78424*AL$3</f>
        <v>10.78424</v>
      </c>
      <c r="AM63" s="108">
        <v>0</v>
      </c>
      <c r="AN63" s="102"/>
      <c r="AO63" s="102"/>
      <c r="AP63" s="112">
        <v>0</v>
      </c>
      <c r="AQ63" s="102">
        <v>0</v>
      </c>
      <c r="AR63" s="112">
        <f>0.0047431*AR$3</f>
        <v>0.0047431000000000001</v>
      </c>
      <c r="AS63" s="102">
        <f>2.881406*AS$3</f>
        <v>2.8814060000000001</v>
      </c>
      <c r="AT63" s="110">
        <f>0.0276022*AT$3</f>
        <v>0.0276022</v>
      </c>
    </row>
    <row r="65" s="119" customFormat="1" ht="12">
      <c r="A65" s="120"/>
      <c r="B65" s="119"/>
      <c r="C65" s="119"/>
      <c r="D65" s="119"/>
      <c r="E65" s="121"/>
      <c r="F65" s="122"/>
      <c r="G65" s="122"/>
      <c r="H65" s="123"/>
      <c r="I65" s="123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5"/>
      <c r="U65" s="126"/>
      <c r="V65" s="123"/>
      <c r="W65" s="123"/>
      <c r="X65" s="126"/>
      <c r="Y65" s="127"/>
      <c r="Z65" s="127"/>
      <c r="AA65" s="121"/>
      <c r="AB65" s="121"/>
      <c r="AC65" s="127"/>
      <c r="AD65" s="128"/>
      <c r="AE65" s="127"/>
      <c r="AF65" s="127"/>
      <c r="AG65" s="127"/>
      <c r="AH65" s="129"/>
      <c r="AI65" s="126"/>
      <c r="AJ65" s="121"/>
      <c r="AK65" s="121"/>
      <c r="AL65" s="125"/>
      <c r="AM65" s="125"/>
      <c r="AN65" s="119"/>
      <c r="AO65" s="119"/>
      <c r="AP65" s="128"/>
      <c r="AQ65" s="119"/>
      <c r="AR65" s="128"/>
      <c r="AS65" s="119"/>
      <c r="AT65" s="127"/>
    </row>
    <row r="66">
      <c r="A66" s="130"/>
      <c r="B66" s="131"/>
      <c r="C66" s="131"/>
      <c r="D66" s="131"/>
      <c r="E66" s="132"/>
      <c r="F66" s="133"/>
      <c r="G66" s="133"/>
      <c r="H66" s="134"/>
      <c r="I66" s="134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6"/>
      <c r="U66" s="137"/>
      <c r="V66" s="134"/>
      <c r="W66" s="134"/>
      <c r="X66" s="137"/>
      <c r="Y66" s="138"/>
      <c r="Z66" s="138"/>
      <c r="AA66" s="135"/>
      <c r="AB66" s="135"/>
      <c r="AC66" s="138"/>
      <c r="AD66" s="139"/>
      <c r="AE66" s="138"/>
      <c r="AF66" s="138"/>
      <c r="AG66" s="138"/>
      <c r="AH66" s="140"/>
      <c r="AI66" s="137"/>
      <c r="AJ66" s="135"/>
      <c r="AK66" s="135"/>
      <c r="AL66" s="136"/>
      <c r="AM66" s="136"/>
      <c r="AN66" s="131"/>
      <c r="AO66" s="131"/>
      <c r="AP66" s="139"/>
      <c r="AQ66" s="131"/>
      <c r="AR66" s="139"/>
      <c r="AS66" s="131"/>
      <c r="AT66" s="138"/>
    </row>
  </sheetData>
  <mergeCells count="25">
    <mergeCell ref="AR6:AS6"/>
    <mergeCell ref="R6:S6"/>
    <mergeCell ref="AA6:AB6"/>
    <mergeCell ref="AG6:AH6"/>
    <mergeCell ref="AJ6:AK6"/>
    <mergeCell ref="AP6:AQ6"/>
    <mergeCell ref="H6:I6"/>
    <mergeCell ref="J6:K6"/>
    <mergeCell ref="L6:M6"/>
    <mergeCell ref="N6:O6"/>
    <mergeCell ref="P6:Q6"/>
    <mergeCell ref="J4:S4"/>
    <mergeCell ref="T4:AK4"/>
    <mergeCell ref="AP4:AT4"/>
    <mergeCell ref="H5:I5"/>
    <mergeCell ref="J5:K5"/>
    <mergeCell ref="L5:M5"/>
    <mergeCell ref="N5:O5"/>
    <mergeCell ref="P5:Q5"/>
    <mergeCell ref="R5:S5"/>
    <mergeCell ref="AA5:AB5"/>
    <mergeCell ref="AG5:AH5"/>
    <mergeCell ref="AJ5:AK5"/>
    <mergeCell ref="AP5:AQ5"/>
    <mergeCell ref="AR5:AS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2147483648" verticalDpi="0" copies="1"/>
  <headerFooter/>
  <drawing r:id="rId3"/>
  <legacyDrawing r:id="rId4"/>
  <oleObjects>
    <mc:AlternateContent xmlns:mc="http://schemas.openxmlformats.org/markup-compatibility/2006">
      <mc:Choice Requires="x14">
        <oleObject progId="Word.Document.8" dvAspect="DVASPECT_CONTENT" shapeId="13312" r:id="rId2">
          <objectPr defaultSize="0" r:id="rId1">
            <anchor>
              <from>
                <xdr:col>0</xdr:col>
                <xdr:colOff>200025</xdr:colOff>
                <xdr:row>66</xdr:row>
                <xdr:rowOff>133350</xdr:rowOff>
              </from>
              <to>
                <xdr:col>8</xdr:col>
                <xdr:colOff>419100</xdr:colOff>
                <xdr:row>78</xdr:row>
                <xdr:rowOff>142875</xdr:rowOff>
              </to>
            </anchor>
          </objectPr>
        </oleObject>
      </mc:Choice>
      <mc:Fallback>
        <oleObject progId="Word.Document.8" dvAspect="DVASPECT_CONTENT" shapeId="13312" r:id="rId2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5" activeCellId="0" sqref="D15"/>
    </sheetView>
  </sheetViews>
  <sheetFormatPr baseColWidth="10" defaultRowHeight="15"/>
  <sheetData>
    <row r="1">
      <c r="A1" t="s">
        <v>889</v>
      </c>
      <c r="B1" t="s">
        <v>294</v>
      </c>
      <c r="C1" t="s">
        <v>295</v>
      </c>
      <c r="D1" t="s">
        <v>296</v>
      </c>
      <c r="E1" t="s">
        <v>462</v>
      </c>
      <c r="F1" t="s">
        <v>298</v>
      </c>
      <c r="G1" t="s">
        <v>306</v>
      </c>
      <c r="H1" t="s">
        <v>608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463</v>
      </c>
      <c r="V1" t="s">
        <v>300</v>
      </c>
    </row>
    <row r="2">
      <c r="A2" t="s">
        <v>890</v>
      </c>
      <c r="B2">
        <v>1</v>
      </c>
      <c r="E2">
        <v>1</v>
      </c>
      <c r="F2">
        <v>21.228362143677376</v>
      </c>
      <c r="G2">
        <v>0.06204672</v>
      </c>
      <c r="H2">
        <v>1700</v>
      </c>
      <c r="I2">
        <v>6</v>
      </c>
      <c r="J2">
        <v>8</v>
      </c>
      <c r="L2">
        <f>F9-F8</f>
        <v>1.0180733138756004</v>
      </c>
      <c r="N2">
        <f t="shared" ref="N2:N65" si="79">IF(E2=1,F2,"")</f>
        <v>21.228362143677376</v>
      </c>
      <c r="O2" t="str">
        <f t="shared" ref="O2:O65" si="80">IF(E2=2,F2,"")</f>
        <v/>
      </c>
      <c r="P2">
        <f>AVERAGE(G11,G13,G17)</f>
        <v>0.06903783333333334</v>
      </c>
      <c r="Q2">
        <f>MIN(N2:N124)</f>
        <v>10.253439309501026</v>
      </c>
      <c r="R2">
        <f>AVERAGE(N2:N124)</f>
        <v>12.45637468994361</v>
      </c>
      <c r="S2">
        <f>MAX(N2:N124)</f>
        <v>21.228362143677376</v>
      </c>
      <c r="T2">
        <f>COUNT(N2:N124)</f>
        <v>16</v>
      </c>
      <c r="U2">
        <v>110</v>
      </c>
      <c r="V2">
        <v>-140</v>
      </c>
    </row>
    <row r="3">
      <c r="A3" t="s">
        <v>891</v>
      </c>
      <c r="B3">
        <v>2</v>
      </c>
      <c r="E3">
        <v>1</v>
      </c>
      <c r="F3">
        <v>11.272136457552975</v>
      </c>
      <c r="G3">
        <v>0.064625160000000001</v>
      </c>
      <c r="H3">
        <v>1700</v>
      </c>
      <c r="I3">
        <v>9</v>
      </c>
      <c r="J3">
        <v>10</v>
      </c>
      <c r="L3">
        <f>F10-F11</f>
        <v>0.87345173096377593</v>
      </c>
      <c r="N3">
        <f t="shared" si="79"/>
        <v>11.272136457552975</v>
      </c>
      <c r="O3" t="str">
        <f t="shared" si="80"/>
        <v/>
      </c>
      <c r="U3">
        <v>110</v>
      </c>
      <c r="V3">
        <v>-140</v>
      </c>
    </row>
    <row r="4">
      <c r="A4" t="s">
        <v>892</v>
      </c>
      <c r="B4">
        <v>3</v>
      </c>
      <c r="E4">
        <v>1</v>
      </c>
      <c r="F4">
        <v>10.541295726589201</v>
      </c>
      <c r="G4">
        <v>0.071862629999999997</v>
      </c>
      <c r="H4">
        <v>1700</v>
      </c>
      <c r="I4">
        <v>11</v>
      </c>
      <c r="J4">
        <v>16</v>
      </c>
      <c r="L4">
        <f>F13-F17</f>
        <v>0.60433583417635006</v>
      </c>
      <c r="N4">
        <f t="shared" si="79"/>
        <v>10.541295726589201</v>
      </c>
      <c r="O4" t="str">
        <f t="shared" si="80"/>
        <v/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110</v>
      </c>
      <c r="V4">
        <v>-140</v>
      </c>
    </row>
    <row r="5">
      <c r="A5" t="s">
        <v>893</v>
      </c>
      <c r="B5">
        <v>4</v>
      </c>
      <c r="E5">
        <v>1</v>
      </c>
      <c r="F5">
        <v>12.696904040464798</v>
      </c>
      <c r="G5">
        <v>0.072754020000000003</v>
      </c>
      <c r="H5">
        <v>1700</v>
      </c>
      <c r="I5">
        <v>21</v>
      </c>
      <c r="J5">
        <v>27</v>
      </c>
      <c r="L5">
        <f>F25-F27</f>
        <v>2.9464994170881766</v>
      </c>
      <c r="N5">
        <f t="shared" si="79"/>
        <v>12.696904040464798</v>
      </c>
      <c r="O5" t="str">
        <f t="shared" si="80"/>
        <v/>
      </c>
      <c r="P5">
        <f>AVERAGE(G2:G10,G12,G14:G16,G18:G22)</f>
        <v>0.065087194999999987</v>
      </c>
      <c r="Q5">
        <f>MIN(O2:O124)</f>
        <v>16.856605999999999</v>
      </c>
      <c r="R5">
        <f>AVERAGE(O2:O124)</f>
        <v>22.16131421045981</v>
      </c>
      <c r="S5">
        <f>MAX(O2:O124)</f>
        <v>26.059739</v>
      </c>
      <c r="T5">
        <f>COUNT(O2:O124)</f>
        <v>37</v>
      </c>
      <c r="U5">
        <v>110</v>
      </c>
      <c r="V5">
        <v>-140</v>
      </c>
    </row>
    <row r="6">
      <c r="A6" t="s">
        <v>894</v>
      </c>
      <c r="B6">
        <v>5</v>
      </c>
      <c r="E6">
        <v>1</v>
      </c>
      <c r="F6">
        <v>10.253439309501026</v>
      </c>
      <c r="G6">
        <v>0.082038840000000002</v>
      </c>
      <c r="H6">
        <v>1700</v>
      </c>
      <c r="I6">
        <v>30</v>
      </c>
      <c r="J6">
        <v>34</v>
      </c>
      <c r="L6">
        <f>F34-F31</f>
        <v>1.892968851948055</v>
      </c>
      <c r="N6">
        <f t="shared" si="79"/>
        <v>10.253439309501026</v>
      </c>
      <c r="O6" t="str">
        <f t="shared" si="80"/>
        <v/>
      </c>
      <c r="U6">
        <v>110</v>
      </c>
      <c r="V6">
        <v>-140</v>
      </c>
    </row>
    <row r="7">
      <c r="A7" t="s">
        <v>895</v>
      </c>
      <c r="B7">
        <v>6</v>
      </c>
      <c r="C7">
        <v>4.5876987549066197e-05</v>
      </c>
      <c r="D7">
        <v>0.84957384350122578</v>
      </c>
      <c r="E7">
        <v>2</v>
      </c>
      <c r="F7">
        <v>21.969667623376626</v>
      </c>
      <c r="G7">
        <v>0.05685101</v>
      </c>
      <c r="H7">
        <v>1700</v>
      </c>
      <c r="I7">
        <v>35</v>
      </c>
      <c r="J7">
        <v>38</v>
      </c>
      <c r="L7">
        <f>F39-F36</f>
        <v>3.5797749468216011</v>
      </c>
      <c r="N7" t="str">
        <f t="shared" si="79"/>
        <v/>
      </c>
      <c r="O7">
        <f t="shared" si="80"/>
        <v>21.969667623376626</v>
      </c>
      <c r="U7">
        <v>110</v>
      </c>
      <c r="V7">
        <v>-140</v>
      </c>
    </row>
    <row r="8">
      <c r="A8" t="s">
        <v>896</v>
      </c>
      <c r="B8">
        <v>7</v>
      </c>
      <c r="C8">
        <v>5.2430842913218497e-05</v>
      </c>
      <c r="D8">
        <v>0.97094153542997208</v>
      </c>
      <c r="E8">
        <v>2</v>
      </c>
      <c r="F8">
        <v>21.48591489241285</v>
      </c>
      <c r="G8">
        <v>0.072234800000000002</v>
      </c>
      <c r="H8">
        <v>1700</v>
      </c>
      <c r="I8">
        <v>39</v>
      </c>
      <c r="J8">
        <v>44</v>
      </c>
      <c r="L8">
        <f>F42-F40</f>
        <v>-3.2540180000000021</v>
      </c>
      <c r="N8" t="str">
        <f t="shared" si="79"/>
        <v/>
      </c>
      <c r="O8">
        <f t="shared" si="80"/>
        <v>21.48591489241285</v>
      </c>
      <c r="U8">
        <v>110</v>
      </c>
      <c r="V8">
        <v>-140</v>
      </c>
    </row>
    <row r="9">
      <c r="A9" t="s">
        <v>897</v>
      </c>
      <c r="B9">
        <v>8</v>
      </c>
      <c r="C9">
        <v>3.9459434611582701e-05</v>
      </c>
      <c r="D9">
        <v>0.73073027058486473</v>
      </c>
      <c r="E9">
        <v>2</v>
      </c>
      <c r="F9">
        <v>22.503988206288451</v>
      </c>
      <c r="G9">
        <v>0.072694259999999997</v>
      </c>
      <c r="H9">
        <v>1700</v>
      </c>
      <c r="I9">
        <v>49</v>
      </c>
      <c r="J9">
        <v>52</v>
      </c>
      <c r="L9">
        <f>F50-F53</f>
        <v>6.3077049999999986</v>
      </c>
      <c r="N9" t="str">
        <f t="shared" si="79"/>
        <v/>
      </c>
      <c r="O9">
        <f t="shared" si="80"/>
        <v>22.503988206288451</v>
      </c>
      <c r="U9">
        <v>110</v>
      </c>
      <c r="V9">
        <v>-140</v>
      </c>
    </row>
    <row r="10">
      <c r="A10" t="s">
        <v>898</v>
      </c>
      <c r="B10">
        <v>9</v>
      </c>
      <c r="C10">
        <v>4.6342755709079303e-05</v>
      </c>
      <c r="D10">
        <v>0.84259555834689637</v>
      </c>
      <c r="E10">
        <v>2</v>
      </c>
      <c r="F10">
        <v>23.175284475324677</v>
      </c>
      <c r="G10">
        <v>0.080452789999999996</v>
      </c>
      <c r="H10">
        <v>1700</v>
      </c>
      <c r="N10" t="str">
        <f t="shared" si="79"/>
        <v/>
      </c>
      <c r="O10">
        <f t="shared" si="80"/>
        <v>23.175284475324677</v>
      </c>
      <c r="U10">
        <v>110</v>
      </c>
      <c r="V10">
        <v>-140</v>
      </c>
    </row>
    <row r="11">
      <c r="A11" t="s">
        <v>899</v>
      </c>
      <c r="B11">
        <v>10</v>
      </c>
      <c r="C11">
        <v>5.2430842913218497e-05</v>
      </c>
      <c r="D11">
        <v>0.95328805296760899</v>
      </c>
      <c r="E11">
        <v>2</v>
      </c>
      <c r="F11">
        <v>22.301832744360901</v>
      </c>
      <c r="G11">
        <v>0.085464849999999995</v>
      </c>
      <c r="H11">
        <v>1700</v>
      </c>
      <c r="N11" t="str">
        <f t="shared" si="79"/>
        <v/>
      </c>
      <c r="O11">
        <f t="shared" si="80"/>
        <v>22.301832744360901</v>
      </c>
      <c r="U11">
        <v>110</v>
      </c>
      <c r="V11">
        <v>-140</v>
      </c>
    </row>
    <row r="12">
      <c r="A12" t="s">
        <v>900</v>
      </c>
      <c r="B12">
        <v>11</v>
      </c>
      <c r="C12">
        <v>5.5993871783214097e-05</v>
      </c>
      <c r="D12">
        <v>0.69992339729017616</v>
      </c>
      <c r="E12">
        <v>2</v>
      </c>
      <c r="F12">
        <v>22.5812160582365</v>
      </c>
      <c r="G12">
        <v>0.074345739999999993</v>
      </c>
      <c r="H12">
        <v>1700</v>
      </c>
      <c r="N12" t="str">
        <f t="shared" si="79"/>
        <v/>
      </c>
      <c r="O12">
        <f t="shared" si="80"/>
        <v>22.5812160582365</v>
      </c>
      <c r="U12">
        <v>110</v>
      </c>
      <c r="V12">
        <v>-140</v>
      </c>
    </row>
    <row r="13">
      <c r="A13" t="s">
        <v>901</v>
      </c>
      <c r="B13">
        <v>12</v>
      </c>
      <c r="C13">
        <v>4.9153915231142401e-05</v>
      </c>
      <c r="D13">
        <v>0.61442394038927994</v>
      </c>
      <c r="E13">
        <v>2</v>
      </c>
      <c r="F13">
        <v>22.718223372112099</v>
      </c>
      <c r="G13">
        <v>0.064925689999999994</v>
      </c>
      <c r="H13">
        <v>1700</v>
      </c>
      <c r="N13" t="str">
        <f t="shared" si="79"/>
        <v/>
      </c>
      <c r="O13">
        <f t="shared" si="80"/>
        <v>22.718223372112099</v>
      </c>
      <c r="U13">
        <v>110</v>
      </c>
      <c r="V13">
        <v>-140</v>
      </c>
    </row>
    <row r="14">
      <c r="A14" t="s">
        <v>902</v>
      </c>
      <c r="B14">
        <v>13</v>
      </c>
      <c r="C14">
        <v>7.2389698551491595e-05</v>
      </c>
      <c r="D14">
        <v>0.90487123189364482</v>
      </c>
      <c r="E14">
        <v>2</v>
      </c>
      <c r="F14">
        <v>22.453943641148328</v>
      </c>
      <c r="G14">
        <v>0.071050130000000003</v>
      </c>
      <c r="H14">
        <v>1700</v>
      </c>
      <c r="N14" t="str">
        <f t="shared" si="79"/>
        <v/>
      </c>
      <c r="O14">
        <f t="shared" si="80"/>
        <v>22.453943641148328</v>
      </c>
      <c r="U14">
        <v>110</v>
      </c>
      <c r="V14">
        <v>-140</v>
      </c>
    </row>
    <row r="15">
      <c r="A15" t="s">
        <v>903</v>
      </c>
      <c r="B15">
        <v>14</v>
      </c>
      <c r="C15">
        <v>4.2092409005675502e-05</v>
      </c>
      <c r="D15">
        <v>0.52615511257094372</v>
      </c>
      <c r="E15">
        <v>2</v>
      </c>
      <c r="F15">
        <v>23.467661955023921</v>
      </c>
      <c r="G15">
        <v>0.062082310000000002</v>
      </c>
      <c r="H15">
        <v>1700</v>
      </c>
      <c r="N15" t="str">
        <f t="shared" si="79"/>
        <v/>
      </c>
      <c r="O15">
        <f t="shared" si="80"/>
        <v>23.467661955023921</v>
      </c>
      <c r="U15">
        <v>110</v>
      </c>
      <c r="V15">
        <v>-140</v>
      </c>
    </row>
    <row r="16">
      <c r="A16" t="s">
        <v>904</v>
      </c>
      <c r="B16">
        <v>15</v>
      </c>
      <c r="C16">
        <v>7.02389698551491e-05</v>
      </c>
      <c r="D16">
        <v>0.87798712318936367</v>
      </c>
      <c r="E16">
        <v>2</v>
      </c>
      <c r="F16">
        <v>22.63577122406015</v>
      </c>
      <c r="G16">
        <v>0.049597290000000002</v>
      </c>
      <c r="H16">
        <v>1700</v>
      </c>
      <c r="N16" t="str">
        <f t="shared" si="79"/>
        <v/>
      </c>
      <c r="O16">
        <f t="shared" si="80"/>
        <v>22.63577122406015</v>
      </c>
      <c r="U16">
        <v>110</v>
      </c>
      <c r="V16">
        <v>-140</v>
      </c>
    </row>
    <row r="17">
      <c r="A17" t="s">
        <v>905</v>
      </c>
      <c r="B17">
        <v>16</v>
      </c>
      <c r="C17">
        <v>7.4725448258606395e-05</v>
      </c>
      <c r="D17">
        <v>0.93406810323257983</v>
      </c>
      <c r="E17">
        <v>2</v>
      </c>
      <c r="F17">
        <v>22.113887537935749</v>
      </c>
      <c r="G17">
        <v>0.056722960000000003</v>
      </c>
      <c r="H17">
        <v>1700</v>
      </c>
      <c r="N17" t="str">
        <f t="shared" si="79"/>
        <v/>
      </c>
      <c r="O17">
        <f t="shared" si="80"/>
        <v>22.113887537935749</v>
      </c>
      <c r="U17">
        <v>110</v>
      </c>
      <c r="V17">
        <v>-140</v>
      </c>
    </row>
    <row r="18">
      <c r="A18" t="s">
        <v>906</v>
      </c>
      <c r="B18">
        <v>17</v>
      </c>
      <c r="E18">
        <v>1</v>
      </c>
      <c r="F18">
        <v>10.980489806971976</v>
      </c>
      <c r="G18">
        <v>0.043012300000000003</v>
      </c>
      <c r="H18">
        <v>1700</v>
      </c>
      <c r="N18">
        <f t="shared" si="79"/>
        <v>10.980489806971976</v>
      </c>
      <c r="O18" t="str">
        <f t="shared" si="80"/>
        <v/>
      </c>
      <c r="U18">
        <v>110</v>
      </c>
      <c r="V18">
        <v>-140</v>
      </c>
    </row>
    <row r="19">
      <c r="A19" t="s">
        <v>907</v>
      </c>
      <c r="B19">
        <v>18</v>
      </c>
      <c r="E19">
        <v>1</v>
      </c>
      <c r="F19">
        <v>11.040935120847575</v>
      </c>
      <c r="G19">
        <v>0.058804660000000002</v>
      </c>
      <c r="H19">
        <v>1700</v>
      </c>
      <c r="N19">
        <f t="shared" si="79"/>
        <v>11.040935120847575</v>
      </c>
      <c r="O19" t="str">
        <f t="shared" si="80"/>
        <v/>
      </c>
      <c r="U19">
        <v>110</v>
      </c>
      <c r="V19">
        <v>-140</v>
      </c>
    </row>
    <row r="20">
      <c r="A20" t="s">
        <v>908</v>
      </c>
      <c r="B20">
        <v>19</v>
      </c>
      <c r="E20">
        <v>1</v>
      </c>
      <c r="F20">
        <v>11.0216063898838</v>
      </c>
      <c r="G20">
        <v>0.05349988</v>
      </c>
      <c r="H20">
        <v>1700</v>
      </c>
      <c r="N20">
        <f t="shared" si="79"/>
        <v>11.0216063898838</v>
      </c>
      <c r="O20" t="str">
        <f t="shared" si="80"/>
        <v/>
      </c>
      <c r="U20">
        <v>110</v>
      </c>
      <c r="V20">
        <v>-140</v>
      </c>
    </row>
    <row r="21">
      <c r="A21" t="s">
        <v>909</v>
      </c>
      <c r="B21">
        <v>20</v>
      </c>
      <c r="E21">
        <v>1</v>
      </c>
      <c r="F21">
        <v>10.996106703759398</v>
      </c>
      <c r="G21">
        <v>0.076575379999999998</v>
      </c>
      <c r="H21">
        <v>1700</v>
      </c>
      <c r="N21">
        <f t="shared" si="79"/>
        <v>10.996106703759398</v>
      </c>
      <c r="O21" t="str">
        <f t="shared" si="80"/>
        <v/>
      </c>
      <c r="U21">
        <v>110</v>
      </c>
      <c r="V21">
        <v>-140</v>
      </c>
    </row>
    <row r="22">
      <c r="A22" t="s">
        <v>910</v>
      </c>
      <c r="B22">
        <v>21</v>
      </c>
      <c r="C22">
        <v>0.000182897616411106</v>
      </c>
      <c r="D22">
        <v>0.91601208200114959</v>
      </c>
      <c r="E22">
        <v>2</v>
      </c>
      <c r="F22">
        <v>21.114023972795628</v>
      </c>
      <c r="G22">
        <v>0.047041590000000001</v>
      </c>
      <c r="H22">
        <v>1700</v>
      </c>
      <c r="N22" t="str">
        <f t="shared" si="79"/>
        <v/>
      </c>
      <c r="O22">
        <f t="shared" si="80"/>
        <v>21.114023972795628</v>
      </c>
      <c r="U22">
        <v>110</v>
      </c>
      <c r="V22">
        <v>-140</v>
      </c>
    </row>
    <row r="23">
      <c r="A23" t="s">
        <v>911</v>
      </c>
      <c r="B23">
        <v>22</v>
      </c>
      <c r="C23">
        <v>0.000116365542998412</v>
      </c>
      <c r="D23">
        <v>0.58279733441456227</v>
      </c>
      <c r="E23">
        <v>2</v>
      </c>
      <c r="F23">
        <v>23.201347286671222</v>
      </c>
      <c r="G23">
        <v>0.072234999999999994</v>
      </c>
      <c r="H23">
        <v>1700</v>
      </c>
      <c r="N23" t="str">
        <f t="shared" si="79"/>
        <v/>
      </c>
      <c r="O23">
        <f t="shared" si="80"/>
        <v>23.201347286671222</v>
      </c>
      <c r="U23">
        <v>110</v>
      </c>
      <c r="V23">
        <v>-140</v>
      </c>
    </row>
    <row r="24">
      <c r="A24" t="s">
        <v>912</v>
      </c>
      <c r="B24">
        <v>23</v>
      </c>
      <c r="C24">
        <v>0.000145998069307819</v>
      </c>
      <c r="D24">
        <v>0.73120687988737854</v>
      </c>
      <c r="E24">
        <v>2</v>
      </c>
      <c r="F24">
        <v>22.654111555707452</v>
      </c>
      <c r="G24">
        <v>0.066275780000000006</v>
      </c>
      <c r="H24">
        <v>1700</v>
      </c>
      <c r="N24" t="str">
        <f t="shared" si="79"/>
        <v/>
      </c>
      <c r="O24">
        <f t="shared" si="80"/>
        <v>22.654111555707452</v>
      </c>
      <c r="U24">
        <v>110</v>
      </c>
      <c r="V24">
        <v>-140</v>
      </c>
    </row>
    <row r="25">
      <c r="A25" t="s">
        <v>913</v>
      </c>
      <c r="B25">
        <v>24</v>
      </c>
      <c r="C25">
        <v>7.5895632763108096e-05</v>
      </c>
      <c r="D25">
        <v>0.38011056648143282</v>
      </c>
      <c r="E25">
        <v>2</v>
      </c>
      <c r="F25">
        <v>24.19081486958305</v>
      </c>
      <c r="G25">
        <v>0.05123109</v>
      </c>
      <c r="H25">
        <v>1700</v>
      </c>
      <c r="N25" t="str">
        <f t="shared" si="79"/>
        <v/>
      </c>
      <c r="O25">
        <f t="shared" si="80"/>
        <v>24.19081486958305</v>
      </c>
      <c r="U25">
        <v>110</v>
      </c>
      <c r="V25">
        <v>-140</v>
      </c>
    </row>
    <row r="26">
      <c r="A26" t="s">
        <v>914</v>
      </c>
      <c r="B26">
        <v>25</v>
      </c>
      <c r="C26">
        <v>0.000138253730364614</v>
      </c>
      <c r="D26">
        <v>0.69242065523181739</v>
      </c>
      <c r="E26">
        <v>2</v>
      </c>
      <c r="F26">
        <v>22.648333138619275</v>
      </c>
      <c r="G26">
        <v>0.074944880000000005</v>
      </c>
      <c r="H26">
        <v>1700</v>
      </c>
      <c r="N26" t="str">
        <f t="shared" si="79"/>
        <v/>
      </c>
      <c r="O26">
        <f t="shared" si="80"/>
        <v>22.648333138619275</v>
      </c>
      <c r="U26">
        <v>110</v>
      </c>
      <c r="V26">
        <v>-140</v>
      </c>
    </row>
    <row r="27">
      <c r="A27" t="s">
        <v>915</v>
      </c>
      <c r="B27">
        <v>26</v>
      </c>
      <c r="C27">
        <v>0.00019198774356642801</v>
      </c>
      <c r="D27">
        <v>0.96153846153846156</v>
      </c>
      <c r="E27">
        <v>2</v>
      </c>
      <c r="F27">
        <v>21.244315452494874</v>
      </c>
      <c r="G27">
        <v>0.074622480000000005</v>
      </c>
      <c r="H27">
        <v>1700</v>
      </c>
      <c r="N27" t="str">
        <f t="shared" si="79"/>
        <v/>
      </c>
      <c r="O27">
        <f t="shared" si="80"/>
        <v>21.244315452494874</v>
      </c>
      <c r="U27">
        <v>110</v>
      </c>
      <c r="V27">
        <v>-140</v>
      </c>
    </row>
    <row r="28">
      <c r="A28" t="s">
        <v>916</v>
      </c>
      <c r="B28">
        <v>27</v>
      </c>
      <c r="C28">
        <v>0.00017891886922316501</v>
      </c>
      <c r="D28">
        <v>0.8960851930296172</v>
      </c>
      <c r="E28">
        <v>2</v>
      </c>
      <c r="F28">
        <v>22.338553766370474</v>
      </c>
      <c r="G28">
        <v>0.068388640000000001</v>
      </c>
      <c r="H28">
        <v>1700</v>
      </c>
      <c r="N28" t="str">
        <f t="shared" si="79"/>
        <v/>
      </c>
      <c r="O28">
        <f t="shared" si="80"/>
        <v>22.338553766370474</v>
      </c>
      <c r="U28">
        <v>110</v>
      </c>
      <c r="V28">
        <v>-140</v>
      </c>
    </row>
    <row r="29">
      <c r="A29" t="s">
        <v>917</v>
      </c>
      <c r="B29">
        <v>28</v>
      </c>
      <c r="E29">
        <v>1</v>
      </c>
      <c r="F29">
        <v>13.128029035406698</v>
      </c>
      <c r="G29">
        <v>0.065467059999999994</v>
      </c>
      <c r="H29">
        <v>1700</v>
      </c>
      <c r="N29">
        <f t="shared" si="79"/>
        <v>13.128029035406698</v>
      </c>
      <c r="O29" t="str">
        <f t="shared" si="80"/>
        <v/>
      </c>
      <c r="U29">
        <v>110</v>
      </c>
      <c r="V29">
        <v>-140</v>
      </c>
    </row>
    <row r="30">
      <c r="A30" t="s">
        <v>918</v>
      </c>
      <c r="B30">
        <v>29</v>
      </c>
      <c r="E30">
        <v>1</v>
      </c>
      <c r="F30">
        <v>12.205174304442926</v>
      </c>
      <c r="G30">
        <v>0.055191879999999999</v>
      </c>
      <c r="H30">
        <v>1700</v>
      </c>
      <c r="N30">
        <f t="shared" si="79"/>
        <v>12.205174304442926</v>
      </c>
      <c r="O30" t="str">
        <f t="shared" si="80"/>
        <v/>
      </c>
      <c r="U30">
        <v>110</v>
      </c>
      <c r="V30">
        <v>-140</v>
      </c>
    </row>
    <row r="31">
      <c r="A31" t="s">
        <v>919</v>
      </c>
      <c r="B31">
        <v>30</v>
      </c>
      <c r="C31">
        <v>0.000121952790954026</v>
      </c>
      <c r="D31">
        <v>0.83333333333333348</v>
      </c>
      <c r="E31">
        <v>2</v>
      </c>
      <c r="F31">
        <v>20.793062618318523</v>
      </c>
      <c r="G31">
        <v>0.071410630000000003</v>
      </c>
      <c r="H31">
        <v>1700</v>
      </c>
      <c r="N31" t="str">
        <f t="shared" si="79"/>
        <v/>
      </c>
      <c r="O31">
        <f t="shared" si="80"/>
        <v>20.793062618318523</v>
      </c>
      <c r="U31">
        <v>110</v>
      </c>
      <c r="V31">
        <v>-140</v>
      </c>
    </row>
    <row r="32">
      <c r="A32" t="s">
        <v>920</v>
      </c>
      <c r="B32">
        <v>31</v>
      </c>
      <c r="C32">
        <v>0.000104707967171852</v>
      </c>
      <c r="D32">
        <v>0.71549522259618359</v>
      </c>
      <c r="E32">
        <v>2</v>
      </c>
      <c r="F32">
        <v>21.442611887354751</v>
      </c>
      <c r="G32">
        <v>0.067376649999999996</v>
      </c>
      <c r="H32">
        <v>1700</v>
      </c>
      <c r="N32" t="str">
        <f t="shared" si="79"/>
        <v/>
      </c>
      <c r="O32">
        <f t="shared" si="80"/>
        <v>21.442611887354751</v>
      </c>
      <c r="U32">
        <v>110</v>
      </c>
      <c r="V32">
        <v>-140</v>
      </c>
    </row>
    <row r="33">
      <c r="A33" t="s">
        <v>921</v>
      </c>
      <c r="B33">
        <v>32</v>
      </c>
      <c r="C33">
        <v>6.5089301235291702e-05</v>
      </c>
      <c r="D33">
        <v>0.44477116053203736</v>
      </c>
      <c r="E33">
        <v>2</v>
      </c>
      <c r="F33">
        <v>22.390641201230352</v>
      </c>
      <c r="G33">
        <v>0.055464149999999997</v>
      </c>
      <c r="H33">
        <v>1700</v>
      </c>
      <c r="N33" t="str">
        <f t="shared" si="79"/>
        <v/>
      </c>
      <c r="O33">
        <f t="shared" si="80"/>
        <v>22.390641201230352</v>
      </c>
      <c r="U33">
        <v>110</v>
      </c>
      <c r="V33">
        <v>-140</v>
      </c>
    </row>
    <row r="34">
      <c r="A34" t="s">
        <v>922</v>
      </c>
      <c r="B34">
        <v>33</v>
      </c>
      <c r="C34">
        <v>5.0506629418846199e-05</v>
      </c>
      <c r="D34">
        <v>0.34512418715292248</v>
      </c>
      <c r="E34">
        <v>2</v>
      </c>
      <c r="F34">
        <v>22.686031470266578</v>
      </c>
      <c r="G34">
        <v>0.067317840000000004</v>
      </c>
      <c r="H34">
        <v>1700</v>
      </c>
      <c r="N34" t="str">
        <f t="shared" si="79"/>
        <v/>
      </c>
      <c r="O34">
        <f t="shared" si="80"/>
        <v>22.686031470266578</v>
      </c>
      <c r="U34">
        <v>110</v>
      </c>
      <c r="V34">
        <v>-140</v>
      </c>
    </row>
    <row r="35">
      <c r="A35" t="s">
        <v>923</v>
      </c>
      <c r="B35">
        <v>34</v>
      </c>
      <c r="C35">
        <v>8.5012931487879402e-05</v>
      </c>
      <c r="D35">
        <v>0.58091421294277545</v>
      </c>
      <c r="E35">
        <v>2</v>
      </c>
      <c r="F35">
        <v>22.259019784142176</v>
      </c>
      <c r="G35">
        <v>0.081618079999999996</v>
      </c>
      <c r="H35">
        <v>1700</v>
      </c>
      <c r="N35" t="str">
        <f t="shared" si="79"/>
        <v/>
      </c>
      <c r="O35">
        <f t="shared" si="80"/>
        <v>22.259019784142176</v>
      </c>
      <c r="U35">
        <v>110</v>
      </c>
      <c r="V35">
        <v>-140</v>
      </c>
    </row>
    <row r="36">
      <c r="A36" t="s">
        <v>924</v>
      </c>
      <c r="B36">
        <v>35</v>
      </c>
      <c r="C36">
        <v>0.00011819674191219299</v>
      </c>
      <c r="D36">
        <v>0.83333333333333337</v>
      </c>
      <c r="E36">
        <v>2</v>
      </c>
      <c r="F36">
        <v>22.479964053178399</v>
      </c>
      <c r="G36">
        <v>0.0593705</v>
      </c>
      <c r="H36">
        <v>1700</v>
      </c>
      <c r="N36" t="str">
        <f t="shared" si="79"/>
        <v/>
      </c>
      <c r="O36">
        <f t="shared" si="80"/>
        <v>22.479964053178399</v>
      </c>
      <c r="U36">
        <v>110</v>
      </c>
      <c r="V36">
        <v>-140</v>
      </c>
    </row>
    <row r="37">
      <c r="A37" t="s">
        <v>925</v>
      </c>
      <c r="B37">
        <v>36</v>
      </c>
      <c r="C37">
        <v>0.000111608135182549</v>
      </c>
      <c r="D37">
        <v>0.78688107484286252</v>
      </c>
      <c r="E37">
        <v>2</v>
      </c>
      <c r="F37">
        <v>24.388541000000004</v>
      </c>
      <c r="G37">
        <v>0.061644190000000001</v>
      </c>
      <c r="H37">
        <v>1700</v>
      </c>
      <c r="N37" t="str">
        <f t="shared" si="79"/>
        <v/>
      </c>
      <c r="O37">
        <f t="shared" si="80"/>
        <v>24.388541000000004</v>
      </c>
      <c r="U37">
        <v>110</v>
      </c>
      <c r="V37">
        <v>-140</v>
      </c>
    </row>
    <row r="38">
      <c r="A38" t="s">
        <v>926</v>
      </c>
      <c r="B38">
        <v>37</v>
      </c>
      <c r="C38">
        <v>7.5440540611697806e-05</v>
      </c>
      <c r="D38">
        <v>0.5318853646838938</v>
      </c>
      <c r="E38">
        <v>2</v>
      </c>
      <c r="F38">
        <v>23.995139999999999</v>
      </c>
      <c r="G38">
        <v>0.136071</v>
      </c>
      <c r="H38">
        <v>1700</v>
      </c>
      <c r="N38" t="str">
        <f t="shared" si="79"/>
        <v/>
      </c>
      <c r="O38">
        <f t="shared" si="80"/>
        <v>23.995139999999999</v>
      </c>
      <c r="U38">
        <v>110</v>
      </c>
      <c r="V38">
        <v>-140</v>
      </c>
    </row>
    <row r="39">
      <c r="A39" t="s">
        <v>927</v>
      </c>
      <c r="B39">
        <v>38</v>
      </c>
      <c r="C39">
        <v>5.0977031279987298e-05</v>
      </c>
      <c r="D39">
        <v>0.35940804046483754</v>
      </c>
      <c r="E39">
        <v>2</v>
      </c>
      <c r="F39">
        <v>26.059739</v>
      </c>
      <c r="G39">
        <v>0.11131099999999999</v>
      </c>
      <c r="H39">
        <v>1700</v>
      </c>
      <c r="N39" t="str">
        <f t="shared" si="79"/>
        <v/>
      </c>
      <c r="O39">
        <f t="shared" si="80"/>
        <v>26.059739</v>
      </c>
      <c r="U39">
        <v>110</v>
      </c>
      <c r="V39">
        <v>-140</v>
      </c>
    </row>
    <row r="40">
      <c r="A40" t="s">
        <v>928</v>
      </c>
      <c r="B40">
        <v>39</v>
      </c>
      <c r="C40">
        <v>8.1923192051903997e-05</v>
      </c>
      <c r="D40">
        <v>0.9009009009009008</v>
      </c>
      <c r="E40">
        <v>2</v>
      </c>
      <c r="F40">
        <v>22.691045000000003</v>
      </c>
      <c r="G40">
        <v>0.05181028</v>
      </c>
      <c r="H40">
        <v>1700</v>
      </c>
      <c r="N40" t="str">
        <f t="shared" si="79"/>
        <v/>
      </c>
      <c r="O40">
        <f t="shared" si="80"/>
        <v>22.691045000000003</v>
      </c>
      <c r="U40">
        <v>110</v>
      </c>
      <c r="V40">
        <v>-140</v>
      </c>
    </row>
    <row r="41">
      <c r="A41" t="s">
        <v>929</v>
      </c>
      <c r="B41">
        <v>40</v>
      </c>
      <c r="C41">
        <v>4.4571035227017698e-05</v>
      </c>
      <c r="D41">
        <v>0.49014308139587193</v>
      </c>
      <c r="E41">
        <v>2</v>
      </c>
      <c r="F41">
        <v>22.283044</v>
      </c>
      <c r="G41">
        <v>0.057837970000000002</v>
      </c>
      <c r="H41">
        <v>1700</v>
      </c>
      <c r="N41" t="str">
        <f t="shared" si="79"/>
        <v/>
      </c>
      <c r="O41">
        <f t="shared" si="80"/>
        <v>22.283044</v>
      </c>
      <c r="U41">
        <v>110</v>
      </c>
      <c r="V41">
        <v>-140</v>
      </c>
    </row>
    <row r="42">
      <c r="A42" t="s">
        <v>930</v>
      </c>
      <c r="B42">
        <v>41</v>
      </c>
      <c r="C42">
        <v>3.7362724129303197e-05</v>
      </c>
      <c r="D42">
        <v>0.4108740270627525</v>
      </c>
      <c r="E42">
        <v>2</v>
      </c>
      <c r="F42">
        <v>19.437027</v>
      </c>
      <c r="G42">
        <v>0.049298839999999997</v>
      </c>
      <c r="H42">
        <v>1700</v>
      </c>
      <c r="N42" t="str">
        <f t="shared" si="79"/>
        <v/>
      </c>
      <c r="O42">
        <f t="shared" si="80"/>
        <v>19.437027</v>
      </c>
      <c r="U42">
        <v>110</v>
      </c>
      <c r="V42">
        <v>-140</v>
      </c>
    </row>
    <row r="43">
      <c r="A43" t="s">
        <v>930</v>
      </c>
      <c r="B43">
        <v>42</v>
      </c>
      <c r="C43">
        <v>5.9595267834670899e-05</v>
      </c>
      <c r="D43">
        <v>0.65536301915176265</v>
      </c>
      <c r="E43">
        <v>2</v>
      </c>
      <c r="F43">
        <v>19.437027</v>
      </c>
      <c r="G43">
        <v>0.049298839999999997</v>
      </c>
      <c r="H43">
        <v>1700</v>
      </c>
      <c r="N43" t="str">
        <f t="shared" si="79"/>
        <v/>
      </c>
      <c r="O43">
        <f t="shared" si="80"/>
        <v>19.437027</v>
      </c>
      <c r="U43">
        <v>110</v>
      </c>
      <c r="V43">
        <v>-140</v>
      </c>
    </row>
    <row r="44">
      <c r="A44" t="s">
        <v>931</v>
      </c>
      <c r="B44">
        <v>43</v>
      </c>
      <c r="C44">
        <v>4.6573893081623699e-05</v>
      </c>
      <c r="D44">
        <v>0.51216830283069825</v>
      </c>
      <c r="E44">
        <v>2</v>
      </c>
      <c r="F44">
        <v>22.516528999999998</v>
      </c>
      <c r="G44">
        <v>0.046945180000000003</v>
      </c>
      <c r="H44">
        <v>1700</v>
      </c>
      <c r="N44" t="str">
        <f t="shared" si="79"/>
        <v/>
      </c>
      <c r="O44">
        <f t="shared" si="80"/>
        <v>22.516528999999998</v>
      </c>
      <c r="U44">
        <v>110</v>
      </c>
      <c r="V44">
        <v>-140</v>
      </c>
    </row>
    <row r="45">
      <c r="A45" t="s">
        <v>932</v>
      </c>
      <c r="B45">
        <v>44</v>
      </c>
      <c r="C45">
        <v>4.9323132184913902e-05</v>
      </c>
      <c r="D45">
        <v>0.54240140194354669</v>
      </c>
      <c r="E45">
        <v>2</v>
      </c>
      <c r="F45">
        <v>21.139913</v>
      </c>
      <c r="G45">
        <v>0.055398950000000002</v>
      </c>
      <c r="H45">
        <v>1700</v>
      </c>
      <c r="N45" t="str">
        <f t="shared" si="79"/>
        <v/>
      </c>
      <c r="O45">
        <f t="shared" si="80"/>
        <v>21.139913</v>
      </c>
      <c r="U45">
        <v>110</v>
      </c>
      <c r="V45">
        <v>-140</v>
      </c>
    </row>
    <row r="46">
      <c r="A46" t="s">
        <v>933</v>
      </c>
      <c r="B46">
        <v>45</v>
      </c>
      <c r="E46">
        <v>1</v>
      </c>
      <c r="F46">
        <v>11.573311</v>
      </c>
      <c r="G46">
        <v>0.061274339999999997</v>
      </c>
      <c r="H46">
        <v>1700</v>
      </c>
      <c r="N46">
        <f t="shared" si="79"/>
        <v>11.573311</v>
      </c>
      <c r="O46" t="str">
        <f t="shared" si="80"/>
        <v/>
      </c>
      <c r="U46">
        <v>110</v>
      </c>
      <c r="V46">
        <v>-140</v>
      </c>
    </row>
    <row r="47">
      <c r="A47" t="s">
        <v>934</v>
      </c>
      <c r="B47">
        <v>46</v>
      </c>
      <c r="E47">
        <v>1</v>
      </c>
      <c r="F47">
        <v>11.861307</v>
      </c>
      <c r="G47">
        <v>0.054031700000000002</v>
      </c>
      <c r="H47">
        <v>1700</v>
      </c>
      <c r="N47">
        <f t="shared" si="79"/>
        <v>11.861307</v>
      </c>
      <c r="O47" t="str">
        <f t="shared" si="80"/>
        <v/>
      </c>
      <c r="U47">
        <v>110</v>
      </c>
      <c r="V47">
        <v>-140</v>
      </c>
    </row>
    <row r="48">
      <c r="A48" t="s">
        <v>935</v>
      </c>
      <c r="B48">
        <v>47</v>
      </c>
      <c r="E48">
        <v>1</v>
      </c>
      <c r="F48">
        <v>12.874075000000001</v>
      </c>
      <c r="G48">
        <v>0.062644190000000002</v>
      </c>
      <c r="H48">
        <v>1700</v>
      </c>
      <c r="N48">
        <f t="shared" si="79"/>
        <v>12.874075000000001</v>
      </c>
      <c r="O48" t="str">
        <f t="shared" si="80"/>
        <v/>
      </c>
      <c r="U48">
        <v>110</v>
      </c>
      <c r="V48">
        <v>-140</v>
      </c>
    </row>
    <row r="49">
      <c r="A49" t="s">
        <v>936</v>
      </c>
      <c r="B49">
        <v>48</v>
      </c>
      <c r="E49">
        <v>1</v>
      </c>
      <c r="F49">
        <v>12.026271000000001</v>
      </c>
      <c r="G49">
        <v>0.067724069999999997</v>
      </c>
      <c r="H49">
        <v>1700</v>
      </c>
      <c r="N49">
        <f t="shared" si="79"/>
        <v>12.026271000000001</v>
      </c>
      <c r="O49" t="str">
        <f t="shared" si="80"/>
        <v/>
      </c>
      <c r="U49">
        <v>110</v>
      </c>
      <c r="V49">
        <v>-140</v>
      </c>
    </row>
    <row r="50">
      <c r="A50" t="s">
        <v>937</v>
      </c>
      <c r="B50">
        <v>49</v>
      </c>
      <c r="C50">
        <v>3.6766514814070599e-05</v>
      </c>
      <c r="D50">
        <v>0.24511009876047063</v>
      </c>
      <c r="E50">
        <v>2</v>
      </c>
      <c r="F50">
        <v>23.164310999999998</v>
      </c>
      <c r="G50">
        <v>0.05740352</v>
      </c>
      <c r="H50">
        <v>1700</v>
      </c>
      <c r="N50" t="str">
        <f t="shared" si="79"/>
        <v/>
      </c>
      <c r="O50">
        <f t="shared" si="80"/>
        <v>23.164310999999998</v>
      </c>
      <c r="U50">
        <v>110</v>
      </c>
      <c r="V50">
        <v>-140</v>
      </c>
    </row>
    <row r="51">
      <c r="A51" t="s">
        <v>938</v>
      </c>
      <c r="B51">
        <v>50</v>
      </c>
      <c r="C51">
        <v>9.36298133545744e-05</v>
      </c>
      <c r="D51">
        <v>0.62419875569716265</v>
      </c>
      <c r="E51">
        <v>2</v>
      </c>
      <c r="F51">
        <v>20.641649000000001</v>
      </c>
      <c r="G51">
        <v>0.055038829999999997</v>
      </c>
      <c r="H51">
        <v>1700</v>
      </c>
      <c r="N51" t="str">
        <f t="shared" si="79"/>
        <v/>
      </c>
      <c r="O51">
        <f t="shared" si="80"/>
        <v>20.641649000000001</v>
      </c>
      <c r="U51">
        <v>110</v>
      </c>
      <c r="V51">
        <v>-140</v>
      </c>
    </row>
    <row r="52">
      <c r="A52" t="s">
        <v>939</v>
      </c>
      <c r="B52">
        <v>51</v>
      </c>
      <c r="C52">
        <v>0.000105405045804593</v>
      </c>
      <c r="D52">
        <v>0.70270030536395323</v>
      </c>
      <c r="E52">
        <v>2</v>
      </c>
      <c r="F52">
        <v>20.507832000000001</v>
      </c>
      <c r="G52">
        <v>0.069007040000000006</v>
      </c>
      <c r="H52">
        <v>1700</v>
      </c>
      <c r="N52" t="str">
        <f t="shared" si="79"/>
        <v/>
      </c>
      <c r="O52">
        <f t="shared" si="80"/>
        <v>20.507832000000001</v>
      </c>
      <c r="U52">
        <v>110</v>
      </c>
      <c r="V52">
        <v>-140</v>
      </c>
    </row>
    <row r="53">
      <c r="A53" t="s">
        <v>940</v>
      </c>
      <c r="B53">
        <v>52</v>
      </c>
      <c r="C53">
        <v>0.00013343173102990701</v>
      </c>
      <c r="D53">
        <v>0.88954487353271328</v>
      </c>
      <c r="E53">
        <v>2</v>
      </c>
      <c r="F53">
        <v>16.856605999999999</v>
      </c>
      <c r="G53">
        <v>0.063943650000000005</v>
      </c>
      <c r="H53">
        <v>1700</v>
      </c>
      <c r="N53" t="str">
        <f t="shared" si="79"/>
        <v/>
      </c>
      <c r="O53">
        <f t="shared" si="80"/>
        <v>16.856605999999999</v>
      </c>
      <c r="U53">
        <v>110</v>
      </c>
      <c r="V53">
        <v>-140</v>
      </c>
    </row>
    <row r="54">
      <c r="A54" t="s">
        <v>941</v>
      </c>
      <c r="B54">
        <v>53</v>
      </c>
      <c r="E54">
        <v>1</v>
      </c>
      <c r="F54">
        <v>15.602551999999999</v>
      </c>
      <c r="G54">
        <v>0.054599450000000001</v>
      </c>
      <c r="H54">
        <v>1700</v>
      </c>
      <c r="N54">
        <f t="shared" si="79"/>
        <v>15.602551999999999</v>
      </c>
      <c r="O54" t="str">
        <f t="shared" si="80"/>
        <v/>
      </c>
      <c r="U54">
        <v>110</v>
      </c>
      <c r="V54">
        <v>-140</v>
      </c>
    </row>
    <row r="55">
      <c r="N55" t="str">
        <f t="shared" si="79"/>
        <v/>
      </c>
      <c r="O55" t="str">
        <f t="shared" si="80"/>
        <v/>
      </c>
      <c r="U55">
        <v>20</v>
      </c>
    </row>
    <row r="56">
      <c r="N56" t="str">
        <f t="shared" si="79"/>
        <v/>
      </c>
      <c r="O56" t="str">
        <f t="shared" si="80"/>
        <v/>
      </c>
      <c r="U56">
        <v>20</v>
      </c>
    </row>
    <row r="57">
      <c r="N57" t="str">
        <f t="shared" si="79"/>
        <v/>
      </c>
      <c r="O57" t="str">
        <f t="shared" si="80"/>
        <v/>
      </c>
      <c r="U57">
        <v>20</v>
      </c>
    </row>
    <row r="58">
      <c r="N58" t="str">
        <f t="shared" si="79"/>
        <v/>
      </c>
      <c r="O58" t="str">
        <f t="shared" si="80"/>
        <v/>
      </c>
      <c r="U58">
        <v>20</v>
      </c>
    </row>
    <row r="59">
      <c r="N59" t="str">
        <f t="shared" si="79"/>
        <v/>
      </c>
      <c r="O59" t="str">
        <f t="shared" si="80"/>
        <v/>
      </c>
      <c r="U59">
        <v>20</v>
      </c>
    </row>
    <row r="60">
      <c r="N60" t="str">
        <f t="shared" si="79"/>
        <v/>
      </c>
      <c r="O60" t="str">
        <f t="shared" si="80"/>
        <v/>
      </c>
      <c r="U60">
        <v>20</v>
      </c>
    </row>
    <row r="61">
      <c r="N61" t="str">
        <f t="shared" si="79"/>
        <v/>
      </c>
      <c r="O61" t="str">
        <f t="shared" si="80"/>
        <v/>
      </c>
      <c r="U61">
        <v>20</v>
      </c>
    </row>
    <row r="62">
      <c r="N62" t="str">
        <f t="shared" si="79"/>
        <v/>
      </c>
      <c r="O62" t="str">
        <f t="shared" si="80"/>
        <v/>
      </c>
      <c r="U62">
        <v>20</v>
      </c>
    </row>
    <row r="63">
      <c r="N63" t="str">
        <f t="shared" si="79"/>
        <v/>
      </c>
      <c r="O63" t="str">
        <f t="shared" si="80"/>
        <v/>
      </c>
      <c r="U63">
        <v>20</v>
      </c>
    </row>
    <row r="64">
      <c r="N64" t="str">
        <f t="shared" si="79"/>
        <v/>
      </c>
      <c r="O64" t="str">
        <f t="shared" si="80"/>
        <v/>
      </c>
      <c r="U64">
        <v>20</v>
      </c>
    </row>
    <row r="65">
      <c r="N65" t="str">
        <f t="shared" si="79"/>
        <v/>
      </c>
      <c r="O65" t="str">
        <f t="shared" si="80"/>
        <v/>
      </c>
      <c r="U65">
        <v>20</v>
      </c>
    </row>
    <row r="66">
      <c r="N66" t="str">
        <f t="shared" ref="N66:N122" si="81">IF(E66=1,F66,"")</f>
        <v/>
      </c>
      <c r="O66" t="str">
        <f t="shared" ref="O66" si="82">IF(E66=2,F66,"")</f>
        <v/>
      </c>
      <c r="U66">
        <v>20</v>
      </c>
    </row>
    <row r="67">
      <c r="N67" t="str">
        <f t="shared" si="81"/>
        <v/>
      </c>
      <c r="O67" t="str">
        <f t="shared" ref="O67:O122" si="83">IF(E67=2,F67,"")</f>
        <v/>
      </c>
      <c r="U67">
        <v>20</v>
      </c>
    </row>
    <row r="68">
      <c r="N68" t="str">
        <f t="shared" si="81"/>
        <v/>
      </c>
      <c r="O68" t="str">
        <f t="shared" si="83"/>
        <v/>
      </c>
      <c r="U68">
        <v>20</v>
      </c>
    </row>
    <row r="69">
      <c r="N69" t="str">
        <f t="shared" si="81"/>
        <v/>
      </c>
      <c r="O69" t="str">
        <f t="shared" si="83"/>
        <v/>
      </c>
      <c r="U69">
        <v>20</v>
      </c>
    </row>
    <row r="70">
      <c r="N70" t="str">
        <f t="shared" si="81"/>
        <v/>
      </c>
      <c r="O70" t="str">
        <f t="shared" si="83"/>
        <v/>
      </c>
      <c r="U70">
        <v>20</v>
      </c>
    </row>
    <row r="71">
      <c r="N71" t="str">
        <f t="shared" si="81"/>
        <v/>
      </c>
      <c r="O71" t="str">
        <f t="shared" si="83"/>
        <v/>
      </c>
      <c r="U71">
        <v>20</v>
      </c>
    </row>
    <row r="72">
      <c r="N72" t="str">
        <f t="shared" si="81"/>
        <v/>
      </c>
      <c r="O72" t="str">
        <f t="shared" si="83"/>
        <v/>
      </c>
      <c r="U72">
        <v>20</v>
      </c>
    </row>
    <row r="73">
      <c r="N73" t="str">
        <f t="shared" si="81"/>
        <v/>
      </c>
      <c r="O73" t="str">
        <f t="shared" si="83"/>
        <v/>
      </c>
      <c r="U73">
        <v>20</v>
      </c>
    </row>
    <row r="74">
      <c r="N74" t="str">
        <f t="shared" si="81"/>
        <v/>
      </c>
      <c r="O74" t="str">
        <f t="shared" si="83"/>
        <v/>
      </c>
      <c r="U74">
        <v>20</v>
      </c>
    </row>
    <row r="75">
      <c r="N75" t="str">
        <f t="shared" si="81"/>
        <v/>
      </c>
      <c r="O75" t="str">
        <f t="shared" si="83"/>
        <v/>
      </c>
      <c r="U75">
        <v>20</v>
      </c>
    </row>
    <row r="76">
      <c r="N76" t="str">
        <f t="shared" si="81"/>
        <v/>
      </c>
      <c r="O76" t="str">
        <f t="shared" si="83"/>
        <v/>
      </c>
      <c r="U76">
        <v>20</v>
      </c>
    </row>
    <row r="77">
      <c r="N77" t="str">
        <f t="shared" si="81"/>
        <v/>
      </c>
      <c r="O77" t="str">
        <f t="shared" si="83"/>
        <v/>
      </c>
      <c r="U77">
        <v>20</v>
      </c>
    </row>
    <row r="78">
      <c r="N78" t="str">
        <f t="shared" si="81"/>
        <v/>
      </c>
      <c r="O78" t="str">
        <f t="shared" si="83"/>
        <v/>
      </c>
      <c r="U78">
        <v>20</v>
      </c>
    </row>
    <row r="79">
      <c r="N79" t="str">
        <f t="shared" si="81"/>
        <v/>
      </c>
      <c r="O79" t="str">
        <f t="shared" si="83"/>
        <v/>
      </c>
      <c r="U79">
        <v>20</v>
      </c>
    </row>
    <row r="80">
      <c r="N80" t="str">
        <f t="shared" si="81"/>
        <v/>
      </c>
      <c r="O80" t="str">
        <f t="shared" si="83"/>
        <v/>
      </c>
      <c r="U80">
        <v>20</v>
      </c>
    </row>
    <row r="81">
      <c r="N81" t="str">
        <f t="shared" si="81"/>
        <v/>
      </c>
      <c r="O81" t="str">
        <f t="shared" si="83"/>
        <v/>
      </c>
      <c r="U81">
        <v>20</v>
      </c>
    </row>
    <row r="82">
      <c r="N82" t="str">
        <f t="shared" si="81"/>
        <v/>
      </c>
      <c r="O82" t="str">
        <f t="shared" si="83"/>
        <v/>
      </c>
      <c r="U82">
        <v>20</v>
      </c>
    </row>
    <row r="83">
      <c r="N83" t="str">
        <f t="shared" si="81"/>
        <v/>
      </c>
      <c r="O83" t="str">
        <f t="shared" si="83"/>
        <v/>
      </c>
      <c r="U83">
        <v>20</v>
      </c>
    </row>
    <row r="84">
      <c r="N84" t="str">
        <f t="shared" si="81"/>
        <v/>
      </c>
      <c r="O84" t="str">
        <f t="shared" si="83"/>
        <v/>
      </c>
      <c r="U84">
        <v>20</v>
      </c>
    </row>
    <row r="85">
      <c r="N85" t="str">
        <f t="shared" si="81"/>
        <v/>
      </c>
      <c r="O85" t="str">
        <f t="shared" si="83"/>
        <v/>
      </c>
      <c r="U85">
        <v>20</v>
      </c>
    </row>
    <row r="86">
      <c r="N86" t="str">
        <f t="shared" si="81"/>
        <v/>
      </c>
      <c r="O86" t="str">
        <f t="shared" si="83"/>
        <v/>
      </c>
      <c r="U86">
        <v>20</v>
      </c>
    </row>
    <row r="87">
      <c r="N87" t="str">
        <f t="shared" si="81"/>
        <v/>
      </c>
      <c r="O87" t="str">
        <f t="shared" si="83"/>
        <v/>
      </c>
      <c r="U87">
        <v>20</v>
      </c>
    </row>
    <row r="88">
      <c r="N88" t="str">
        <f t="shared" si="81"/>
        <v/>
      </c>
      <c r="O88" t="str">
        <f t="shared" si="83"/>
        <v/>
      </c>
      <c r="U88">
        <v>20</v>
      </c>
    </row>
    <row r="89">
      <c r="N89" t="str">
        <f t="shared" si="81"/>
        <v/>
      </c>
      <c r="O89" t="str">
        <f t="shared" si="83"/>
        <v/>
      </c>
      <c r="U89">
        <v>20</v>
      </c>
    </row>
    <row r="90">
      <c r="N90" t="str">
        <f t="shared" si="81"/>
        <v/>
      </c>
      <c r="O90" t="str">
        <f t="shared" si="83"/>
        <v/>
      </c>
      <c r="U90">
        <v>20</v>
      </c>
    </row>
    <row r="91">
      <c r="N91" t="str">
        <f t="shared" si="81"/>
        <v/>
      </c>
      <c r="O91" t="str">
        <f t="shared" si="83"/>
        <v/>
      </c>
      <c r="U91">
        <v>20</v>
      </c>
    </row>
    <row r="92">
      <c r="N92" t="str">
        <f t="shared" si="81"/>
        <v/>
      </c>
      <c r="O92" t="str">
        <f t="shared" si="83"/>
        <v/>
      </c>
      <c r="U92">
        <v>20</v>
      </c>
    </row>
    <row r="93">
      <c r="N93" t="str">
        <f t="shared" si="81"/>
        <v/>
      </c>
      <c r="O93" t="str">
        <f t="shared" si="83"/>
        <v/>
      </c>
      <c r="U93">
        <v>20</v>
      </c>
    </row>
    <row r="94">
      <c r="N94" t="str">
        <f t="shared" si="81"/>
        <v/>
      </c>
      <c r="O94" t="str">
        <f t="shared" si="83"/>
        <v/>
      </c>
      <c r="U94">
        <v>20</v>
      </c>
    </row>
    <row r="95">
      <c r="N95" t="str">
        <f t="shared" si="81"/>
        <v/>
      </c>
      <c r="O95" t="str">
        <f t="shared" si="83"/>
        <v/>
      </c>
      <c r="U95">
        <v>20</v>
      </c>
    </row>
    <row r="96">
      <c r="N96" t="str">
        <f t="shared" si="81"/>
        <v/>
      </c>
      <c r="O96" t="str">
        <f t="shared" si="83"/>
        <v/>
      </c>
      <c r="U96">
        <v>20</v>
      </c>
    </row>
    <row r="97">
      <c r="N97" t="str">
        <f t="shared" si="81"/>
        <v/>
      </c>
      <c r="O97" t="str">
        <f t="shared" si="83"/>
        <v/>
      </c>
      <c r="U97">
        <v>20</v>
      </c>
    </row>
    <row r="98">
      <c r="N98" t="str">
        <f t="shared" si="81"/>
        <v/>
      </c>
      <c r="O98" t="str">
        <f t="shared" si="83"/>
        <v/>
      </c>
      <c r="U98">
        <v>20</v>
      </c>
    </row>
    <row r="99">
      <c r="N99" t="str">
        <f t="shared" si="81"/>
        <v/>
      </c>
      <c r="O99" t="str">
        <f t="shared" si="83"/>
        <v/>
      </c>
      <c r="U99">
        <v>20</v>
      </c>
    </row>
    <row r="100">
      <c r="N100" t="str">
        <f t="shared" si="81"/>
        <v/>
      </c>
      <c r="O100" t="str">
        <f t="shared" si="83"/>
        <v/>
      </c>
      <c r="U100">
        <v>20</v>
      </c>
    </row>
    <row r="101">
      <c r="N101" t="str">
        <f t="shared" si="81"/>
        <v/>
      </c>
      <c r="O101" t="str">
        <f t="shared" si="83"/>
        <v/>
      </c>
      <c r="U101">
        <v>20</v>
      </c>
    </row>
    <row r="102">
      <c r="N102" t="str">
        <f t="shared" si="81"/>
        <v/>
      </c>
      <c r="O102" t="str">
        <f t="shared" si="83"/>
        <v/>
      </c>
      <c r="U102">
        <v>20</v>
      </c>
    </row>
    <row r="103">
      <c r="N103" t="str">
        <f t="shared" si="81"/>
        <v/>
      </c>
      <c r="O103" t="str">
        <f t="shared" si="83"/>
        <v/>
      </c>
      <c r="U103">
        <v>20</v>
      </c>
    </row>
    <row r="104">
      <c r="N104" t="str">
        <f t="shared" si="81"/>
        <v/>
      </c>
      <c r="O104" t="str">
        <f t="shared" si="83"/>
        <v/>
      </c>
      <c r="U104">
        <v>20</v>
      </c>
    </row>
    <row r="105">
      <c r="N105" t="str">
        <f t="shared" si="81"/>
        <v/>
      </c>
      <c r="O105" t="str">
        <f t="shared" si="83"/>
        <v/>
      </c>
      <c r="U105">
        <v>20</v>
      </c>
    </row>
    <row r="106">
      <c r="N106" t="str">
        <f t="shared" si="81"/>
        <v/>
      </c>
      <c r="O106" t="str">
        <f t="shared" si="83"/>
        <v/>
      </c>
      <c r="U106">
        <v>20</v>
      </c>
    </row>
    <row r="107">
      <c r="N107" t="str">
        <f t="shared" si="81"/>
        <v/>
      </c>
      <c r="O107" t="str">
        <f t="shared" si="83"/>
        <v/>
      </c>
      <c r="U107">
        <v>20</v>
      </c>
    </row>
    <row r="108">
      <c r="N108" t="str">
        <f t="shared" si="81"/>
        <v/>
      </c>
      <c r="O108" t="str">
        <f t="shared" si="83"/>
        <v/>
      </c>
      <c r="U108">
        <v>20</v>
      </c>
    </row>
    <row r="109">
      <c r="N109" t="str">
        <f t="shared" si="81"/>
        <v/>
      </c>
      <c r="O109" t="str">
        <f t="shared" si="83"/>
        <v/>
      </c>
      <c r="U109">
        <v>20</v>
      </c>
    </row>
    <row r="110">
      <c r="N110" t="str">
        <f t="shared" si="81"/>
        <v/>
      </c>
      <c r="O110" t="str">
        <f t="shared" si="83"/>
        <v/>
      </c>
      <c r="U110">
        <v>20</v>
      </c>
    </row>
    <row r="111">
      <c r="N111" t="str">
        <f t="shared" si="81"/>
        <v/>
      </c>
      <c r="O111" t="str">
        <f t="shared" si="83"/>
        <v/>
      </c>
      <c r="U111">
        <v>20</v>
      </c>
    </row>
    <row r="112">
      <c r="N112" t="str">
        <f t="shared" si="81"/>
        <v/>
      </c>
      <c r="O112" t="str">
        <f t="shared" si="83"/>
        <v/>
      </c>
      <c r="U112">
        <v>20</v>
      </c>
    </row>
    <row r="113">
      <c r="N113" t="str">
        <f t="shared" si="81"/>
        <v/>
      </c>
      <c r="O113" t="str">
        <f t="shared" si="83"/>
        <v/>
      </c>
      <c r="U113">
        <v>20</v>
      </c>
    </row>
    <row r="114">
      <c r="N114" t="str">
        <f t="shared" si="81"/>
        <v/>
      </c>
      <c r="O114" t="str">
        <f t="shared" si="83"/>
        <v/>
      </c>
      <c r="U114">
        <v>20</v>
      </c>
    </row>
    <row r="115">
      <c r="N115" t="str">
        <f t="shared" si="81"/>
        <v/>
      </c>
      <c r="O115" t="str">
        <f t="shared" si="83"/>
        <v/>
      </c>
      <c r="U115">
        <v>20</v>
      </c>
    </row>
    <row r="116">
      <c r="N116" t="str">
        <f t="shared" si="81"/>
        <v/>
      </c>
      <c r="O116" t="str">
        <f t="shared" si="83"/>
        <v/>
      </c>
      <c r="U116">
        <v>20</v>
      </c>
    </row>
    <row r="117">
      <c r="N117" t="str">
        <f t="shared" si="81"/>
        <v/>
      </c>
      <c r="O117" t="str">
        <f t="shared" si="83"/>
        <v/>
      </c>
      <c r="U117">
        <v>20</v>
      </c>
    </row>
    <row r="118">
      <c r="N118" t="str">
        <f t="shared" si="81"/>
        <v/>
      </c>
      <c r="O118" t="str">
        <f t="shared" si="83"/>
        <v/>
      </c>
      <c r="U118">
        <v>20</v>
      </c>
    </row>
    <row r="119">
      <c r="N119" t="str">
        <f t="shared" si="81"/>
        <v/>
      </c>
      <c r="O119" t="str">
        <f t="shared" si="83"/>
        <v/>
      </c>
      <c r="U119">
        <v>20</v>
      </c>
    </row>
    <row r="120">
      <c r="N120" t="str">
        <f t="shared" si="81"/>
        <v/>
      </c>
      <c r="O120" t="str">
        <f t="shared" si="83"/>
        <v/>
      </c>
      <c r="U120">
        <v>20</v>
      </c>
    </row>
    <row r="121">
      <c r="N121" t="str">
        <f t="shared" si="81"/>
        <v/>
      </c>
      <c r="O121" t="str">
        <f t="shared" si="83"/>
        <v/>
      </c>
      <c r="U121">
        <v>20</v>
      </c>
    </row>
    <row r="122">
      <c r="N122" t="str">
        <f t="shared" si="81"/>
        <v/>
      </c>
      <c r="O122" t="str">
        <f t="shared" si="83"/>
        <v/>
      </c>
      <c r="U122">
        <v>20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1:1048576"/>
    </sheetView>
  </sheetViews>
  <sheetFormatPr baseColWidth="10" defaultRowHeight="15"/>
  <cols>
    <col bestFit="1" customWidth="1" min="3" max="3" width="12"/>
  </cols>
  <sheetData>
    <row r="1">
      <c r="A1" t="s">
        <v>293</v>
      </c>
      <c r="B1" t="s">
        <v>606</v>
      </c>
      <c r="C1" t="s">
        <v>334</v>
      </c>
      <c r="D1" t="s">
        <v>296</v>
      </c>
      <c r="E1" t="s">
        <v>297</v>
      </c>
      <c r="F1" t="s">
        <v>298</v>
      </c>
      <c r="G1" t="s">
        <v>299</v>
      </c>
      <c r="H1" t="s">
        <v>300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463</v>
      </c>
      <c r="V1" t="s">
        <v>300</v>
      </c>
    </row>
    <row r="2">
      <c r="A2" t="s">
        <v>942</v>
      </c>
      <c r="B2">
        <v>1</v>
      </c>
      <c r="C2">
        <v>0</v>
      </c>
      <c r="D2">
        <v>0</v>
      </c>
      <c r="E2">
        <v>1</v>
      </c>
      <c r="F2">
        <v>7.990558</v>
      </c>
      <c r="G2">
        <v>0.062994789999999995</v>
      </c>
      <c r="H2">
        <v>1750</v>
      </c>
      <c r="I2">
        <v>11</v>
      </c>
      <c r="J2">
        <v>15</v>
      </c>
      <c r="L2">
        <f>F15-F16</f>
        <v>5.3697910000000029</v>
      </c>
      <c r="N2">
        <f t="shared" ref="N2:N33" si="84">IF(E2=1,F2,"")</f>
        <v>7.990558</v>
      </c>
      <c r="O2" t="str">
        <f t="shared" ref="O2:O33" si="85">IF(E2=2,F2,"")</f>
        <v/>
      </c>
      <c r="P2">
        <f>AVERAGE(G11,G13,G17)</f>
        <v>0.055176350000000006</v>
      </c>
      <c r="Q2">
        <f>MIN(N2:N124)</f>
        <v>-3.192456</v>
      </c>
      <c r="R2">
        <f>AVERAGE(N2:N124)</f>
        <v>9.0468659857142839</v>
      </c>
      <c r="S2">
        <f>MAX(N2:N124)</f>
        <v>15.679517000000001</v>
      </c>
      <c r="T2">
        <f>COUNT(N2:N124)</f>
        <v>70</v>
      </c>
      <c r="U2">
        <v>115</v>
      </c>
      <c r="V2">
        <v>-130</v>
      </c>
    </row>
    <row r="3">
      <c r="A3" t="s">
        <v>943</v>
      </c>
      <c r="B3">
        <v>2</v>
      </c>
      <c r="C3">
        <v>0</v>
      </c>
      <c r="D3">
        <v>0</v>
      </c>
      <c r="E3">
        <v>1</v>
      </c>
      <c r="F3">
        <v>9.931063</v>
      </c>
      <c r="G3">
        <v>0.0523531</v>
      </c>
      <c r="H3">
        <v>1750</v>
      </c>
      <c r="I3">
        <v>27</v>
      </c>
      <c r="J3">
        <v>28</v>
      </c>
      <c r="L3">
        <f>F28-F29</f>
        <v>3.9771900000000002</v>
      </c>
      <c r="N3">
        <f t="shared" si="84"/>
        <v>9.931063</v>
      </c>
      <c r="O3" t="str">
        <f t="shared" si="85"/>
        <v/>
      </c>
      <c r="U3">
        <v>115</v>
      </c>
      <c r="V3">
        <v>-130</v>
      </c>
    </row>
    <row r="4">
      <c r="A4" t="s">
        <v>944</v>
      </c>
      <c r="B4">
        <v>3</v>
      </c>
      <c r="C4">
        <v>0</v>
      </c>
      <c r="D4">
        <v>0</v>
      </c>
      <c r="E4">
        <v>1</v>
      </c>
      <c r="F4">
        <v>10.510871999999999</v>
      </c>
      <c r="G4">
        <v>0.047560060000000001</v>
      </c>
      <c r="H4">
        <v>1750</v>
      </c>
      <c r="I4">
        <v>30</v>
      </c>
      <c r="J4">
        <v>36</v>
      </c>
      <c r="L4">
        <f>F37-F31</f>
        <v>-0.58773700000000062</v>
      </c>
      <c r="N4">
        <f t="shared" si="84"/>
        <v>10.510871999999999</v>
      </c>
      <c r="O4" t="str">
        <f t="shared" si="85"/>
        <v/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115</v>
      </c>
      <c r="V4">
        <v>-130</v>
      </c>
    </row>
    <row r="5">
      <c r="A5" t="s">
        <v>945</v>
      </c>
      <c r="B5">
        <v>4</v>
      </c>
      <c r="C5">
        <v>0</v>
      </c>
      <c r="D5">
        <v>0</v>
      </c>
      <c r="E5">
        <v>1</v>
      </c>
      <c r="F5">
        <v>9.0648169999999997</v>
      </c>
      <c r="G5">
        <v>0.067228759999999999</v>
      </c>
      <c r="H5">
        <v>1750</v>
      </c>
      <c r="I5">
        <v>38</v>
      </c>
      <c r="J5">
        <v>40</v>
      </c>
      <c r="L5">
        <f>F41-F39</f>
        <v>-0.40795800000000071</v>
      </c>
      <c r="N5">
        <f t="shared" si="84"/>
        <v>9.0648169999999997</v>
      </c>
      <c r="O5" t="str">
        <f t="shared" si="85"/>
        <v/>
      </c>
      <c r="P5">
        <f>AVERAGE(G2:G10,G12,G14:G16,G18:G22)</f>
        <v>0.060591722222222227</v>
      </c>
      <c r="Q5">
        <f>MIN(O2:O124)</f>
        <v>12.809843000000001</v>
      </c>
      <c r="R5">
        <f>AVERAGE(O2:O124)</f>
        <v>18.986005387755103</v>
      </c>
      <c r="S5">
        <f>MAX(O2:O124)</f>
        <v>23.080215000000003</v>
      </c>
      <c r="T5">
        <f>COUNT(O2:O124)</f>
        <v>49</v>
      </c>
      <c r="U5">
        <v>115</v>
      </c>
      <c r="V5">
        <v>-130</v>
      </c>
    </row>
    <row r="6">
      <c r="A6" t="s">
        <v>946</v>
      </c>
      <c r="B6">
        <v>5</v>
      </c>
      <c r="C6">
        <v>0</v>
      </c>
      <c r="D6">
        <v>0</v>
      </c>
      <c r="E6">
        <v>1</v>
      </c>
      <c r="F6">
        <v>9.0345650000000006</v>
      </c>
      <c r="G6">
        <v>0.050322659999999998</v>
      </c>
      <c r="H6">
        <v>1750</v>
      </c>
      <c r="I6">
        <v>46</v>
      </c>
      <c r="J6">
        <v>48</v>
      </c>
      <c r="L6">
        <f>F49-F47</f>
        <v>4.9092339999999979</v>
      </c>
      <c r="N6">
        <f t="shared" si="84"/>
        <v>9.0345650000000006</v>
      </c>
      <c r="O6" t="str">
        <f t="shared" si="85"/>
        <v/>
      </c>
      <c r="U6">
        <v>115</v>
      </c>
      <c r="V6">
        <v>-130</v>
      </c>
    </row>
    <row r="7">
      <c r="A7" t="s">
        <v>947</v>
      </c>
      <c r="B7">
        <v>6</v>
      </c>
      <c r="C7">
        <v>0</v>
      </c>
      <c r="D7">
        <v>0</v>
      </c>
      <c r="E7">
        <v>1</v>
      </c>
      <c r="F7">
        <v>11.053298</v>
      </c>
      <c r="G7">
        <v>0.038744670000000002</v>
      </c>
      <c r="H7">
        <v>1750</v>
      </c>
      <c r="I7">
        <v>54</v>
      </c>
      <c r="J7">
        <v>57</v>
      </c>
      <c r="L7">
        <f>F58-F55</f>
        <v>3.2102230000000027</v>
      </c>
      <c r="N7">
        <f t="shared" si="84"/>
        <v>11.053298</v>
      </c>
      <c r="O7" t="str">
        <f t="shared" si="85"/>
        <v/>
      </c>
      <c r="U7">
        <v>115</v>
      </c>
      <c r="V7">
        <v>-130</v>
      </c>
    </row>
    <row r="8">
      <c r="A8" t="s">
        <v>948</v>
      </c>
      <c r="B8">
        <v>7</v>
      </c>
      <c r="C8">
        <v>0</v>
      </c>
      <c r="D8">
        <v>0</v>
      </c>
      <c r="F8">
        <v>0.29043699999999983</v>
      </c>
      <c r="G8">
        <v>0.046817829999999998</v>
      </c>
      <c r="H8">
        <v>1750</v>
      </c>
      <c r="I8">
        <v>62</v>
      </c>
      <c r="J8">
        <v>69</v>
      </c>
      <c r="L8">
        <f>F69-F64</f>
        <v>1.9354770000000023</v>
      </c>
      <c r="N8" t="str">
        <f t="shared" si="84"/>
        <v/>
      </c>
      <c r="O8" t="str">
        <f t="shared" si="85"/>
        <v/>
      </c>
      <c r="U8">
        <v>115</v>
      </c>
      <c r="V8">
        <v>-130</v>
      </c>
    </row>
    <row r="9">
      <c r="A9" t="s">
        <v>949</v>
      </c>
      <c r="B9">
        <v>8</v>
      </c>
      <c r="C9">
        <v>0</v>
      </c>
      <c r="D9">
        <v>0</v>
      </c>
      <c r="F9">
        <v>-0.5012080000000001</v>
      </c>
      <c r="G9">
        <v>0.052094210000000002</v>
      </c>
      <c r="H9">
        <v>1750</v>
      </c>
      <c r="I9">
        <v>76</v>
      </c>
      <c r="J9">
        <v>76</v>
      </c>
      <c r="N9" t="str">
        <f t="shared" si="84"/>
        <v/>
      </c>
      <c r="O9" t="str">
        <f t="shared" si="85"/>
        <v/>
      </c>
      <c r="U9">
        <v>115</v>
      </c>
      <c r="V9">
        <v>-130</v>
      </c>
    </row>
    <row r="10">
      <c r="A10" t="s">
        <v>950</v>
      </c>
      <c r="B10">
        <v>9</v>
      </c>
      <c r="C10">
        <v>0</v>
      </c>
      <c r="D10">
        <v>0</v>
      </c>
      <c r="E10">
        <v>2</v>
      </c>
      <c r="F10">
        <v>18.723617000000001</v>
      </c>
      <c r="G10">
        <v>0.067062490000000002</v>
      </c>
      <c r="H10">
        <v>1750</v>
      </c>
      <c r="I10">
        <v>89</v>
      </c>
      <c r="J10">
        <v>90</v>
      </c>
      <c r="L10">
        <f>F91-F90</f>
        <v>0.8845559999999999</v>
      </c>
      <c r="N10" t="str">
        <f t="shared" si="84"/>
        <v/>
      </c>
      <c r="O10">
        <f t="shared" si="85"/>
        <v>18.723617000000001</v>
      </c>
      <c r="U10">
        <v>115</v>
      </c>
      <c r="V10">
        <v>-130</v>
      </c>
    </row>
    <row r="11">
      <c r="A11" t="s">
        <v>951</v>
      </c>
      <c r="B11">
        <v>10</v>
      </c>
      <c r="C11">
        <v>0</v>
      </c>
      <c r="D11">
        <v>0</v>
      </c>
      <c r="E11">
        <v>1</v>
      </c>
      <c r="F11">
        <v>10.897473999999999</v>
      </c>
      <c r="G11">
        <v>0.058523119999999998</v>
      </c>
      <c r="H11">
        <v>1750</v>
      </c>
      <c r="I11">
        <v>92</v>
      </c>
      <c r="J11">
        <v>93</v>
      </c>
      <c r="L11">
        <f>F94-F93</f>
        <v>-1.5268180000000022</v>
      </c>
      <c r="N11">
        <f t="shared" si="84"/>
        <v>10.897473999999999</v>
      </c>
      <c r="O11" t="str">
        <f t="shared" si="85"/>
        <v/>
      </c>
      <c r="U11">
        <v>115</v>
      </c>
      <c r="V11">
        <v>-130</v>
      </c>
    </row>
    <row r="12">
      <c r="A12" t="s">
        <v>952</v>
      </c>
      <c r="B12">
        <v>11</v>
      </c>
      <c r="C12">
        <v>2.7430462057828502e-05</v>
      </c>
      <c r="D12">
        <v>0.6857615514457126</v>
      </c>
      <c r="E12">
        <v>2</v>
      </c>
      <c r="F12">
        <v>21.910803000000001</v>
      </c>
      <c r="G12">
        <v>0.065750719999999999</v>
      </c>
      <c r="H12">
        <v>1750</v>
      </c>
      <c r="I12">
        <v>108</v>
      </c>
      <c r="J12">
        <v>112</v>
      </c>
      <c r="L12">
        <f>F111-F109</f>
        <v>2.3779730000000043</v>
      </c>
      <c r="N12" t="str">
        <f t="shared" si="84"/>
        <v/>
      </c>
      <c r="O12">
        <f t="shared" si="85"/>
        <v>21.910803000000001</v>
      </c>
      <c r="U12">
        <v>115</v>
      </c>
      <c r="V12">
        <v>-130</v>
      </c>
    </row>
    <row r="13">
      <c r="A13" t="s">
        <v>953</v>
      </c>
      <c r="B13">
        <v>12</v>
      </c>
      <c r="C13">
        <v>2.3136247507835899e-05</v>
      </c>
      <c r="D13">
        <v>0.57840618769589747</v>
      </c>
      <c r="E13">
        <v>2</v>
      </c>
      <c r="F13">
        <v>19.925046000000002</v>
      </c>
      <c r="G13">
        <v>0.060125570000000003</v>
      </c>
      <c r="H13">
        <v>1750</v>
      </c>
      <c r="I13">
        <v>117</v>
      </c>
      <c r="J13">
        <v>123</v>
      </c>
      <c r="L13">
        <f>F118-F124</f>
        <v>1.3225499999999997</v>
      </c>
      <c r="N13" t="str">
        <f t="shared" si="84"/>
        <v/>
      </c>
      <c r="O13">
        <f t="shared" si="85"/>
        <v>19.925046000000002</v>
      </c>
      <c r="U13">
        <v>115</v>
      </c>
      <c r="V13">
        <v>-130</v>
      </c>
    </row>
    <row r="14">
      <c r="A14" t="s">
        <v>954</v>
      </c>
      <c r="B14">
        <v>13</v>
      </c>
      <c r="C14">
        <v>2.0349180085702001e-05</v>
      </c>
      <c r="D14">
        <v>0.50872950214255008</v>
      </c>
      <c r="E14">
        <v>2</v>
      </c>
      <c r="F14">
        <v>22.666321</v>
      </c>
      <c r="G14">
        <v>0.057697289999999998</v>
      </c>
      <c r="H14">
        <v>1750</v>
      </c>
      <c r="I14">
        <v>98</v>
      </c>
      <c r="J14">
        <v>98</v>
      </c>
      <c r="N14" t="str">
        <f t="shared" si="84"/>
        <v/>
      </c>
      <c r="O14">
        <f t="shared" si="85"/>
        <v>22.666321</v>
      </c>
      <c r="U14">
        <v>115</v>
      </c>
      <c r="V14">
        <v>-130</v>
      </c>
    </row>
    <row r="15">
      <c r="A15" t="s">
        <v>955</v>
      </c>
      <c r="B15">
        <v>14</v>
      </c>
      <c r="C15">
        <v>1.34831460674157e-05</v>
      </c>
      <c r="D15">
        <v>0.33707865168539247</v>
      </c>
      <c r="E15">
        <v>2</v>
      </c>
      <c r="F15">
        <v>23.080215000000003</v>
      </c>
      <c r="G15">
        <v>0.05020749</v>
      </c>
      <c r="H15">
        <v>1750</v>
      </c>
      <c r="I15">
        <v>124</v>
      </c>
      <c r="J15">
        <v>124</v>
      </c>
      <c r="N15" t="str">
        <f t="shared" si="84"/>
        <v/>
      </c>
      <c r="O15">
        <f t="shared" si="85"/>
        <v>23.080215000000003</v>
      </c>
      <c r="U15">
        <v>115</v>
      </c>
      <c r="V15">
        <v>-130</v>
      </c>
    </row>
    <row r="16">
      <c r="A16" t="s">
        <v>956</v>
      </c>
      <c r="B16">
        <v>15</v>
      </c>
      <c r="C16">
        <v>3.92654059002644e-05</v>
      </c>
      <c r="D16">
        <v>0.98163514750660996</v>
      </c>
      <c r="E16">
        <v>2</v>
      </c>
      <c r="F16">
        <v>17.710424</v>
      </c>
      <c r="G16">
        <v>0.091475689999999998</v>
      </c>
      <c r="H16">
        <v>1750</v>
      </c>
      <c r="I16">
        <v>125</v>
      </c>
      <c r="J16">
        <v>125</v>
      </c>
      <c r="N16" t="str">
        <f t="shared" si="84"/>
        <v/>
      </c>
      <c r="O16">
        <f t="shared" si="85"/>
        <v>17.710424</v>
      </c>
      <c r="U16">
        <v>115</v>
      </c>
      <c r="V16">
        <v>-130</v>
      </c>
    </row>
    <row r="17">
      <c r="A17" t="s">
        <v>957</v>
      </c>
      <c r="B17">
        <v>16</v>
      </c>
      <c r="C17">
        <v>0</v>
      </c>
      <c r="D17">
        <v>0</v>
      </c>
      <c r="E17">
        <v>1</v>
      </c>
      <c r="F17">
        <v>9.0073399999999992</v>
      </c>
      <c r="G17">
        <v>0.046880360000000003</v>
      </c>
      <c r="H17">
        <v>1750</v>
      </c>
      <c r="N17">
        <f t="shared" si="84"/>
        <v>9.0073399999999992</v>
      </c>
      <c r="O17" t="str">
        <f t="shared" si="85"/>
        <v/>
      </c>
      <c r="U17">
        <v>115</v>
      </c>
      <c r="V17">
        <v>-130</v>
      </c>
    </row>
    <row r="18">
      <c r="A18" t="s">
        <v>958</v>
      </c>
      <c r="B18">
        <v>17</v>
      </c>
      <c r="C18">
        <v>0</v>
      </c>
      <c r="D18">
        <v>0</v>
      </c>
      <c r="E18">
        <v>1</v>
      </c>
      <c r="F18">
        <v>-3.192456</v>
      </c>
      <c r="G18">
        <v>0.048504039999999998</v>
      </c>
      <c r="H18">
        <v>1750</v>
      </c>
      <c r="N18">
        <f t="shared" si="84"/>
        <v>-3.192456</v>
      </c>
      <c r="O18" t="str">
        <f t="shared" si="85"/>
        <v/>
      </c>
      <c r="U18">
        <v>115</v>
      </c>
      <c r="V18">
        <v>-130</v>
      </c>
    </row>
    <row r="19">
      <c r="A19" t="s">
        <v>959</v>
      </c>
      <c r="B19">
        <v>18</v>
      </c>
      <c r="C19">
        <v>0</v>
      </c>
      <c r="D19">
        <v>0</v>
      </c>
      <c r="E19">
        <v>1</v>
      </c>
      <c r="F19">
        <v>8.3011320000000008</v>
      </c>
      <c r="G19">
        <v>0.081018999999999994</v>
      </c>
      <c r="H19">
        <v>1750</v>
      </c>
      <c r="N19">
        <f t="shared" si="84"/>
        <v>8.3011320000000008</v>
      </c>
      <c r="O19" t="str">
        <f t="shared" si="85"/>
        <v/>
      </c>
      <c r="U19">
        <v>115</v>
      </c>
      <c r="V19">
        <v>-130</v>
      </c>
    </row>
    <row r="20">
      <c r="A20" t="s">
        <v>960</v>
      </c>
      <c r="B20">
        <v>19</v>
      </c>
      <c r="C20">
        <v>0</v>
      </c>
      <c r="D20">
        <v>0</v>
      </c>
      <c r="E20">
        <v>1</v>
      </c>
      <c r="F20">
        <v>8.985043000000001</v>
      </c>
      <c r="G20">
        <v>0.058978360000000001</v>
      </c>
      <c r="H20">
        <v>1750</v>
      </c>
      <c r="N20">
        <f t="shared" si="84"/>
        <v>8.985043000000001</v>
      </c>
      <c r="O20" t="str">
        <f t="shared" si="85"/>
        <v/>
      </c>
      <c r="U20">
        <v>115</v>
      </c>
      <c r="V20">
        <v>-130</v>
      </c>
    </row>
    <row r="21">
      <c r="A21" t="s">
        <v>961</v>
      </c>
      <c r="B21">
        <v>20</v>
      </c>
      <c r="C21">
        <v>0</v>
      </c>
      <c r="D21">
        <v>0</v>
      </c>
      <c r="E21">
        <v>1</v>
      </c>
      <c r="F21">
        <v>8.0654439999999994</v>
      </c>
      <c r="G21">
        <v>0.064713619999999999</v>
      </c>
      <c r="H21">
        <v>1750</v>
      </c>
      <c r="N21">
        <f t="shared" si="84"/>
        <v>8.0654439999999994</v>
      </c>
      <c r="O21" t="str">
        <f t="shared" si="85"/>
        <v/>
      </c>
      <c r="U21">
        <v>115</v>
      </c>
      <c r="V21">
        <v>-130</v>
      </c>
    </row>
    <row r="22">
      <c r="A22" t="s">
        <v>962</v>
      </c>
      <c r="B22">
        <v>21</v>
      </c>
      <c r="C22">
        <v>0</v>
      </c>
      <c r="D22">
        <v>0</v>
      </c>
      <c r="E22">
        <v>1</v>
      </c>
      <c r="F22">
        <v>-0.42579600000000006</v>
      </c>
      <c r="G22">
        <v>0.087126220000000004</v>
      </c>
      <c r="H22">
        <v>1750</v>
      </c>
      <c r="N22">
        <f t="shared" si="84"/>
        <v>-0.42579600000000006</v>
      </c>
      <c r="O22" t="str">
        <f t="shared" si="85"/>
        <v/>
      </c>
      <c r="U22">
        <v>115</v>
      </c>
      <c r="V22">
        <v>-130</v>
      </c>
    </row>
    <row r="23">
      <c r="A23" t="s">
        <v>963</v>
      </c>
      <c r="B23">
        <v>22</v>
      </c>
      <c r="C23">
        <v>0</v>
      </c>
      <c r="D23">
        <v>0</v>
      </c>
      <c r="E23">
        <v>1</v>
      </c>
      <c r="F23">
        <v>-0.79699299999999962</v>
      </c>
      <c r="G23">
        <v>0.085795670000000004</v>
      </c>
      <c r="H23">
        <v>1750</v>
      </c>
      <c r="N23">
        <f t="shared" si="84"/>
        <v>-0.79699299999999962</v>
      </c>
      <c r="O23" t="str">
        <f t="shared" si="85"/>
        <v/>
      </c>
      <c r="U23">
        <v>115</v>
      </c>
      <c r="V23">
        <v>-130</v>
      </c>
    </row>
    <row r="24">
      <c r="A24" t="s">
        <v>964</v>
      </c>
      <c r="B24">
        <v>23</v>
      </c>
      <c r="C24">
        <v>0</v>
      </c>
      <c r="D24">
        <v>0</v>
      </c>
      <c r="E24">
        <v>1</v>
      </c>
      <c r="F24">
        <v>9.9420649999999995</v>
      </c>
      <c r="G24">
        <v>0.090349970000000002</v>
      </c>
      <c r="H24">
        <v>1750</v>
      </c>
      <c r="N24">
        <f t="shared" si="84"/>
        <v>9.9420649999999995</v>
      </c>
      <c r="O24" t="str">
        <f t="shared" si="85"/>
        <v/>
      </c>
      <c r="U24">
        <v>115</v>
      </c>
      <c r="V24">
        <v>-130</v>
      </c>
    </row>
    <row r="25">
      <c r="A25" t="s">
        <v>965</v>
      </c>
      <c r="B25">
        <v>24</v>
      </c>
      <c r="C25">
        <v>0</v>
      </c>
      <c r="D25">
        <v>0</v>
      </c>
      <c r="E25">
        <v>1</v>
      </c>
      <c r="F25">
        <v>1.0039340000000001</v>
      </c>
      <c r="G25">
        <v>0.104424</v>
      </c>
      <c r="H25">
        <v>1750</v>
      </c>
      <c r="N25">
        <f t="shared" si="84"/>
        <v>1.0039340000000001</v>
      </c>
      <c r="O25" t="str">
        <f t="shared" si="85"/>
        <v/>
      </c>
      <c r="U25">
        <v>115</v>
      </c>
      <c r="V25">
        <v>-130</v>
      </c>
    </row>
    <row r="26">
      <c r="A26" t="s">
        <v>966</v>
      </c>
      <c r="B26">
        <v>25</v>
      </c>
      <c r="C26">
        <v>0</v>
      </c>
      <c r="D26">
        <v>0</v>
      </c>
      <c r="E26">
        <v>1</v>
      </c>
      <c r="F26">
        <v>6.4483519999999999</v>
      </c>
      <c r="G26">
        <v>0.075981999999999994</v>
      </c>
      <c r="H26">
        <v>1750</v>
      </c>
      <c r="N26">
        <f t="shared" si="84"/>
        <v>6.4483519999999999</v>
      </c>
      <c r="O26" t="str">
        <f t="shared" si="85"/>
        <v/>
      </c>
      <c r="U26">
        <v>115</v>
      </c>
      <c r="V26">
        <v>-130</v>
      </c>
    </row>
    <row r="27">
      <c r="A27" t="s">
        <v>967</v>
      </c>
      <c r="B27">
        <v>26</v>
      </c>
      <c r="C27">
        <v>0</v>
      </c>
      <c r="D27">
        <v>0</v>
      </c>
      <c r="E27">
        <v>1</v>
      </c>
      <c r="F27">
        <v>11.893667000000001</v>
      </c>
      <c r="G27">
        <v>0.096326090000000003</v>
      </c>
      <c r="H27">
        <v>1750</v>
      </c>
      <c r="N27">
        <f t="shared" si="84"/>
        <v>11.893667000000001</v>
      </c>
      <c r="O27" t="str">
        <f t="shared" si="85"/>
        <v/>
      </c>
      <c r="U27">
        <v>115</v>
      </c>
      <c r="V27">
        <v>-130</v>
      </c>
    </row>
    <row r="28">
      <c r="A28" t="s">
        <v>968</v>
      </c>
      <c r="B28">
        <v>27</v>
      </c>
      <c r="C28">
        <v>1.8804019788890698e-05</v>
      </c>
      <c r="D28">
        <v>0.188040197888907</v>
      </c>
      <c r="E28">
        <v>2</v>
      </c>
      <c r="F28">
        <v>21.379125000000002</v>
      </c>
      <c r="G28">
        <v>0.054244960000000002</v>
      </c>
      <c r="H28">
        <v>1750</v>
      </c>
      <c r="N28" t="str">
        <f t="shared" si="84"/>
        <v/>
      </c>
      <c r="O28">
        <f t="shared" si="85"/>
        <v>21.379125000000002</v>
      </c>
      <c r="U28">
        <v>115</v>
      </c>
      <c r="V28">
        <v>-130</v>
      </c>
    </row>
    <row r="29">
      <c r="A29" t="s">
        <v>969</v>
      </c>
      <c r="B29">
        <v>28</v>
      </c>
      <c r="C29">
        <v>2.2643038274940902e-05</v>
      </c>
      <c r="D29">
        <v>0.22643038274940899</v>
      </c>
      <c r="E29">
        <v>2</v>
      </c>
      <c r="F29">
        <v>17.401935000000002</v>
      </c>
      <c r="G29">
        <v>0.07229352</v>
      </c>
      <c r="H29">
        <v>1750</v>
      </c>
      <c r="N29" t="str">
        <f t="shared" si="84"/>
        <v/>
      </c>
      <c r="O29">
        <f t="shared" si="85"/>
        <v>17.401935000000002</v>
      </c>
      <c r="U29">
        <v>115</v>
      </c>
      <c r="V29">
        <v>-130</v>
      </c>
    </row>
    <row r="30">
      <c r="A30" t="s">
        <v>970</v>
      </c>
      <c r="B30">
        <v>29</v>
      </c>
      <c r="C30">
        <v>0</v>
      </c>
      <c r="D30">
        <v>0</v>
      </c>
      <c r="E30">
        <v>1</v>
      </c>
      <c r="F30">
        <v>13.283006</v>
      </c>
      <c r="G30">
        <v>0.050357569999999997</v>
      </c>
      <c r="H30">
        <v>1750</v>
      </c>
      <c r="N30">
        <f t="shared" si="84"/>
        <v>13.283006</v>
      </c>
      <c r="O30" t="str">
        <f t="shared" si="85"/>
        <v/>
      </c>
      <c r="U30">
        <v>115</v>
      </c>
      <c r="V30">
        <v>-130</v>
      </c>
    </row>
    <row r="31">
      <c r="A31" t="s">
        <v>971</v>
      </c>
      <c r="B31">
        <v>30</v>
      </c>
      <c r="C31">
        <v>5.3599703140927698e-05</v>
      </c>
      <c r="D31">
        <v>0.76571004487039573</v>
      </c>
      <c r="E31">
        <v>2</v>
      </c>
      <c r="F31">
        <v>18.427095000000001</v>
      </c>
      <c r="G31">
        <v>0.058436439999999999</v>
      </c>
      <c r="H31">
        <v>1750</v>
      </c>
      <c r="N31" t="str">
        <f t="shared" si="84"/>
        <v/>
      </c>
      <c r="O31">
        <f t="shared" si="85"/>
        <v>18.427095000000001</v>
      </c>
      <c r="U31">
        <v>115</v>
      </c>
      <c r="V31">
        <v>-130</v>
      </c>
    </row>
    <row r="32">
      <c r="A32" t="s">
        <v>972</v>
      </c>
      <c r="B32">
        <v>31</v>
      </c>
      <c r="C32">
        <v>3.8651295604852601e-05</v>
      </c>
      <c r="D32">
        <v>0.55216136578360864</v>
      </c>
      <c r="E32">
        <v>2</v>
      </c>
      <c r="F32">
        <v>17.424013000000002</v>
      </c>
      <c r="G32">
        <v>0.065756830000000002</v>
      </c>
      <c r="H32">
        <v>1750</v>
      </c>
      <c r="N32" t="str">
        <f t="shared" si="84"/>
        <v/>
      </c>
      <c r="O32">
        <f t="shared" si="85"/>
        <v>17.424013000000002</v>
      </c>
      <c r="U32">
        <v>115</v>
      </c>
      <c r="V32">
        <v>-130</v>
      </c>
    </row>
    <row r="33">
      <c r="A33" t="s">
        <v>973</v>
      </c>
      <c r="B33">
        <v>32</v>
      </c>
      <c r="C33">
        <v>3.2704942434875301e-05</v>
      </c>
      <c r="D33">
        <v>0.46721346335536151</v>
      </c>
      <c r="E33">
        <v>2</v>
      </c>
      <c r="F33">
        <v>17.911448999999998</v>
      </c>
      <c r="G33">
        <v>0.069361140000000002</v>
      </c>
      <c r="H33">
        <v>1750</v>
      </c>
      <c r="N33" t="str">
        <f t="shared" si="84"/>
        <v/>
      </c>
      <c r="O33">
        <f t="shared" si="85"/>
        <v>17.911448999999998</v>
      </c>
      <c r="U33">
        <v>115</v>
      </c>
      <c r="V33">
        <v>-130</v>
      </c>
    </row>
    <row r="34">
      <c r="A34" t="s">
        <v>974</v>
      </c>
      <c r="B34">
        <v>33</v>
      </c>
      <c r="C34">
        <v>2.6923259060764498e-05</v>
      </c>
      <c r="D34">
        <v>0.38461798658235002</v>
      </c>
      <c r="E34">
        <v>2</v>
      </c>
      <c r="F34">
        <v>18.478656000000001</v>
      </c>
      <c r="G34">
        <v>0.07519605</v>
      </c>
      <c r="H34">
        <v>1750</v>
      </c>
      <c r="N34" t="str">
        <f t="shared" ref="N34:N97" si="86">IF(E34=1,F34,"")</f>
        <v/>
      </c>
      <c r="O34">
        <f t="shared" ref="O34:O97" si="87">IF(E34=2,F34,"")</f>
        <v>18.478656000000001</v>
      </c>
      <c r="U34">
        <v>115</v>
      </c>
      <c r="V34">
        <v>-130</v>
      </c>
    </row>
    <row r="35">
      <c r="A35" t="s">
        <v>975</v>
      </c>
      <c r="B35">
        <v>34</v>
      </c>
      <c r="C35">
        <v>2.4517442207042901e-05</v>
      </c>
      <c r="D35">
        <v>0.35024917438632719</v>
      </c>
      <c r="E35">
        <v>2</v>
      </c>
      <c r="F35">
        <v>18.524445</v>
      </c>
      <c r="G35">
        <v>0.048771420000000003</v>
      </c>
      <c r="H35">
        <v>1750</v>
      </c>
      <c r="N35" t="str">
        <f t="shared" si="86"/>
        <v/>
      </c>
      <c r="O35">
        <f t="shared" si="87"/>
        <v>18.524445</v>
      </c>
      <c r="U35">
        <v>115</v>
      </c>
      <c r="V35">
        <v>-130</v>
      </c>
    </row>
    <row r="36">
      <c r="A36" t="s">
        <v>976</v>
      </c>
      <c r="B36">
        <v>35</v>
      </c>
      <c r="C36">
        <v>2.10235332491054e-05</v>
      </c>
      <c r="D36">
        <v>0.30033618927293432</v>
      </c>
      <c r="E36">
        <v>2</v>
      </c>
      <c r="F36">
        <v>19.357388999999998</v>
      </c>
      <c r="G36">
        <v>0.046448490000000002</v>
      </c>
      <c r="H36">
        <v>1750</v>
      </c>
      <c r="N36" t="str">
        <f t="shared" si="86"/>
        <v/>
      </c>
      <c r="O36">
        <f t="shared" si="87"/>
        <v>19.357388999999998</v>
      </c>
      <c r="U36">
        <v>115</v>
      </c>
      <c r="V36">
        <v>-130</v>
      </c>
    </row>
    <row r="37">
      <c r="A37" t="s">
        <v>977</v>
      </c>
      <c r="B37">
        <v>36</v>
      </c>
      <c r="C37">
        <v>2.01602854242143e-05</v>
      </c>
      <c r="D37">
        <v>0.28800407748877571</v>
      </c>
      <c r="E37">
        <v>2</v>
      </c>
      <c r="F37">
        <v>17.839358000000001</v>
      </c>
      <c r="G37">
        <v>0.084110870000000004</v>
      </c>
      <c r="H37">
        <v>1750</v>
      </c>
      <c r="N37" t="str">
        <f t="shared" si="86"/>
        <v/>
      </c>
      <c r="O37">
        <f t="shared" si="87"/>
        <v>17.839358000000001</v>
      </c>
      <c r="U37">
        <v>115</v>
      </c>
      <c r="V37">
        <v>-130</v>
      </c>
    </row>
    <row r="38">
      <c r="A38" t="s">
        <v>978</v>
      </c>
      <c r="B38">
        <v>37</v>
      </c>
      <c r="C38">
        <v>0</v>
      </c>
      <c r="D38">
        <v>0</v>
      </c>
      <c r="E38">
        <v>1</v>
      </c>
      <c r="F38">
        <v>10.288352</v>
      </c>
      <c r="G38">
        <v>0.065484059999999997</v>
      </c>
      <c r="H38">
        <v>1750</v>
      </c>
      <c r="N38">
        <f t="shared" si="86"/>
        <v>10.288352</v>
      </c>
      <c r="O38" t="str">
        <f t="shared" si="87"/>
        <v/>
      </c>
      <c r="U38">
        <v>115</v>
      </c>
      <c r="V38">
        <v>-130</v>
      </c>
    </row>
    <row r="39">
      <c r="A39" t="s">
        <v>979</v>
      </c>
      <c r="B39">
        <v>38</v>
      </c>
      <c r="C39">
        <v>6.8447665211664998e-05</v>
      </c>
      <c r="D39">
        <v>0.97782378873807152</v>
      </c>
      <c r="E39">
        <v>2</v>
      </c>
      <c r="F39">
        <v>20.165796</v>
      </c>
      <c r="G39">
        <v>0.053413919999999997</v>
      </c>
      <c r="H39">
        <v>1750</v>
      </c>
      <c r="N39" t="str">
        <f t="shared" si="86"/>
        <v/>
      </c>
      <c r="O39">
        <f t="shared" si="87"/>
        <v>20.165796</v>
      </c>
      <c r="U39">
        <v>115</v>
      </c>
      <c r="V39">
        <v>-130</v>
      </c>
    </row>
    <row r="40">
      <c r="A40" t="s">
        <v>980</v>
      </c>
      <c r="B40">
        <v>39</v>
      </c>
      <c r="C40">
        <v>4.7010049472226797e-05</v>
      </c>
      <c r="D40">
        <v>0.67157213531752569</v>
      </c>
      <c r="E40">
        <v>2</v>
      </c>
      <c r="F40">
        <v>21.681352</v>
      </c>
      <c r="G40">
        <v>0.048661639999999999</v>
      </c>
      <c r="H40">
        <v>1750</v>
      </c>
      <c r="N40" t="str">
        <f t="shared" si="86"/>
        <v/>
      </c>
      <c r="O40">
        <f t="shared" si="87"/>
        <v>21.681352</v>
      </c>
      <c r="U40">
        <v>115</v>
      </c>
      <c r="V40">
        <v>-130</v>
      </c>
    </row>
    <row r="41">
      <c r="A41" t="s">
        <v>981</v>
      </c>
      <c r="B41">
        <v>40</v>
      </c>
      <c r="C41">
        <v>3.4800139708870502e-05</v>
      </c>
      <c r="D41">
        <v>0.49714485298386435</v>
      </c>
      <c r="E41">
        <v>2</v>
      </c>
      <c r="F41">
        <v>19.757838</v>
      </c>
      <c r="G41">
        <v>0.068013690000000002</v>
      </c>
      <c r="H41">
        <v>1750</v>
      </c>
      <c r="N41" t="str">
        <f t="shared" si="86"/>
        <v/>
      </c>
      <c r="O41">
        <f t="shared" si="87"/>
        <v>19.757838</v>
      </c>
      <c r="U41">
        <v>115</v>
      </c>
      <c r="V41">
        <v>-130</v>
      </c>
    </row>
    <row r="42">
      <c r="A42" t="s">
        <v>982</v>
      </c>
      <c r="B42">
        <v>41</v>
      </c>
      <c r="C42">
        <v>0</v>
      </c>
      <c r="D42">
        <v>0</v>
      </c>
      <c r="E42">
        <v>1</v>
      </c>
      <c r="F42">
        <v>12.193826000000001</v>
      </c>
      <c r="G42">
        <v>0.041680300000000003</v>
      </c>
      <c r="H42">
        <v>1750</v>
      </c>
      <c r="N42">
        <f t="shared" si="86"/>
        <v>12.193826000000001</v>
      </c>
      <c r="O42" t="str">
        <f t="shared" si="87"/>
        <v/>
      </c>
      <c r="U42">
        <v>115</v>
      </c>
      <c r="V42">
        <v>-130</v>
      </c>
    </row>
    <row r="43">
      <c r="A43" t="s">
        <v>983</v>
      </c>
      <c r="B43">
        <v>42</v>
      </c>
      <c r="C43">
        <v>0</v>
      </c>
      <c r="D43">
        <v>0</v>
      </c>
      <c r="E43">
        <v>1</v>
      </c>
      <c r="F43">
        <v>12.045033</v>
      </c>
      <c r="G43">
        <v>0.04100053</v>
      </c>
      <c r="H43">
        <v>1750</v>
      </c>
      <c r="N43">
        <f t="shared" si="86"/>
        <v>12.045033</v>
      </c>
      <c r="O43" t="str">
        <f t="shared" si="87"/>
        <v/>
      </c>
      <c r="U43">
        <v>115</v>
      </c>
      <c r="V43">
        <v>-130</v>
      </c>
    </row>
    <row r="44">
      <c r="A44" t="s">
        <v>984</v>
      </c>
      <c r="B44">
        <v>43</v>
      </c>
      <c r="C44">
        <v>0</v>
      </c>
      <c r="D44">
        <v>0</v>
      </c>
      <c r="E44">
        <v>1</v>
      </c>
      <c r="F44">
        <v>11.570551</v>
      </c>
      <c r="G44">
        <v>0.062188390000000003</v>
      </c>
      <c r="H44">
        <v>1750</v>
      </c>
      <c r="N44">
        <f t="shared" si="86"/>
        <v>11.570551</v>
      </c>
      <c r="O44" t="str">
        <f t="shared" si="87"/>
        <v/>
      </c>
      <c r="U44">
        <v>115</v>
      </c>
      <c r="V44">
        <v>-130</v>
      </c>
    </row>
    <row r="45">
      <c r="A45" t="s">
        <v>985</v>
      </c>
      <c r="B45">
        <v>44</v>
      </c>
      <c r="C45">
        <v>0</v>
      </c>
      <c r="D45">
        <v>0</v>
      </c>
      <c r="E45">
        <v>1</v>
      </c>
      <c r="F45">
        <v>9.9078009999999992</v>
      </c>
      <c r="G45">
        <v>0.065435220000000002</v>
      </c>
      <c r="H45">
        <v>1750</v>
      </c>
      <c r="N45">
        <f t="shared" si="86"/>
        <v>9.9078009999999992</v>
      </c>
      <c r="O45" t="str">
        <f t="shared" si="87"/>
        <v/>
      </c>
      <c r="U45">
        <v>115</v>
      </c>
      <c r="V45">
        <v>-130</v>
      </c>
    </row>
    <row r="46">
      <c r="A46" t="s">
        <v>986</v>
      </c>
      <c r="B46">
        <v>45</v>
      </c>
      <c r="C46">
        <v>0</v>
      </c>
      <c r="D46">
        <v>0</v>
      </c>
      <c r="E46">
        <v>1</v>
      </c>
      <c r="F46">
        <v>9.8032229999999991</v>
      </c>
      <c r="G46">
        <v>0.046932219999999997</v>
      </c>
      <c r="H46">
        <v>1750</v>
      </c>
      <c r="N46">
        <f t="shared" si="86"/>
        <v>9.8032229999999991</v>
      </c>
      <c r="O46" t="str">
        <f t="shared" si="87"/>
        <v/>
      </c>
      <c r="U46">
        <v>115</v>
      </c>
      <c r="V46">
        <v>-130</v>
      </c>
    </row>
    <row r="47">
      <c r="A47" t="s">
        <v>987</v>
      </c>
      <c r="B47">
        <v>46</v>
      </c>
      <c r="C47">
        <v>0.00016633853518440201</v>
      </c>
      <c r="D47">
        <v>0.83169267592201002</v>
      </c>
      <c r="E47">
        <v>2</v>
      </c>
      <c r="F47">
        <v>17.247458000000002</v>
      </c>
      <c r="G47">
        <v>0.068364889999999998</v>
      </c>
      <c r="H47">
        <v>1750</v>
      </c>
      <c r="N47" t="str">
        <f t="shared" si="86"/>
        <v/>
      </c>
      <c r="O47">
        <f t="shared" si="87"/>
        <v>17.247458000000002</v>
      </c>
      <c r="U47">
        <v>115</v>
      </c>
      <c r="V47">
        <v>-130</v>
      </c>
    </row>
    <row r="48">
      <c r="A48" t="s">
        <v>988</v>
      </c>
      <c r="B48">
        <v>47</v>
      </c>
      <c r="C48">
        <v>0.00011301982420347</v>
      </c>
      <c r="D48">
        <v>0.56509912101734994</v>
      </c>
      <c r="E48">
        <v>2</v>
      </c>
      <c r="F48">
        <v>20.234047</v>
      </c>
      <c r="G48">
        <v>0.051511880000000003</v>
      </c>
      <c r="H48">
        <v>1750</v>
      </c>
      <c r="N48" t="str">
        <f t="shared" si="86"/>
        <v/>
      </c>
      <c r="O48">
        <f t="shared" si="87"/>
        <v>20.234047</v>
      </c>
      <c r="U48">
        <v>115</v>
      </c>
      <c r="V48">
        <v>-130</v>
      </c>
    </row>
    <row r="49">
      <c r="A49" t="s">
        <v>989</v>
      </c>
      <c r="B49">
        <v>48</v>
      </c>
      <c r="C49">
        <v>5.1924296785657803e-05</v>
      </c>
      <c r="D49">
        <v>0.25962148392828899</v>
      </c>
      <c r="E49">
        <v>2</v>
      </c>
      <c r="F49">
        <v>22.156692</v>
      </c>
      <c r="G49">
        <v>0.125254</v>
      </c>
      <c r="H49">
        <v>1750</v>
      </c>
      <c r="N49" t="str">
        <f t="shared" si="86"/>
        <v/>
      </c>
      <c r="O49">
        <f t="shared" si="87"/>
        <v>22.156692</v>
      </c>
      <c r="U49">
        <v>115</v>
      </c>
      <c r="V49">
        <v>-130</v>
      </c>
    </row>
    <row r="50">
      <c r="A50" t="s">
        <v>990</v>
      </c>
      <c r="B50">
        <v>49</v>
      </c>
      <c r="C50">
        <v>0</v>
      </c>
      <c r="D50">
        <v>0</v>
      </c>
      <c r="E50">
        <v>1</v>
      </c>
      <c r="F50">
        <v>10.612970000000001</v>
      </c>
      <c r="G50">
        <v>0.074627390000000002</v>
      </c>
      <c r="H50">
        <v>1750</v>
      </c>
      <c r="N50">
        <f t="shared" si="86"/>
        <v>10.612970000000001</v>
      </c>
      <c r="O50" t="str">
        <f t="shared" si="87"/>
        <v/>
      </c>
      <c r="U50">
        <v>115</v>
      </c>
      <c r="V50">
        <v>-130</v>
      </c>
    </row>
    <row r="51">
      <c r="A51" t="s">
        <v>991</v>
      </c>
      <c r="B51">
        <v>50</v>
      </c>
      <c r="C51">
        <v>0</v>
      </c>
      <c r="D51">
        <v>0</v>
      </c>
      <c r="E51">
        <v>1</v>
      </c>
      <c r="F51">
        <v>9.0345620000000011</v>
      </c>
      <c r="G51">
        <v>0.043593659999999999</v>
      </c>
      <c r="H51">
        <v>1750</v>
      </c>
      <c r="N51">
        <f t="shared" si="86"/>
        <v>9.0345620000000011</v>
      </c>
      <c r="O51" t="str">
        <f t="shared" si="87"/>
        <v/>
      </c>
      <c r="U51">
        <v>115</v>
      </c>
      <c r="V51">
        <v>-130</v>
      </c>
    </row>
    <row r="52">
      <c r="A52" t="s">
        <v>992</v>
      </c>
      <c r="B52">
        <v>51</v>
      </c>
      <c r="C52">
        <v>0</v>
      </c>
      <c r="D52">
        <v>0</v>
      </c>
      <c r="E52">
        <v>1</v>
      </c>
      <c r="F52">
        <v>9.1824189999999994</v>
      </c>
      <c r="G52">
        <v>0.053833859999999997</v>
      </c>
      <c r="H52">
        <v>1750</v>
      </c>
      <c r="N52">
        <f t="shared" si="86"/>
        <v>9.1824189999999994</v>
      </c>
      <c r="O52" t="str">
        <f t="shared" si="87"/>
        <v/>
      </c>
      <c r="U52">
        <v>115</v>
      </c>
      <c r="V52">
        <v>-130</v>
      </c>
    </row>
    <row r="53">
      <c r="A53" t="s">
        <v>993</v>
      </c>
      <c r="B53">
        <v>52</v>
      </c>
      <c r="C53">
        <v>0</v>
      </c>
      <c r="D53">
        <v>0</v>
      </c>
      <c r="E53">
        <v>1</v>
      </c>
      <c r="F53">
        <v>8.1880459999999999</v>
      </c>
      <c r="G53">
        <v>0.070547650000000003</v>
      </c>
      <c r="H53">
        <v>1750</v>
      </c>
      <c r="N53">
        <f t="shared" si="86"/>
        <v>8.1880459999999999</v>
      </c>
      <c r="O53" t="str">
        <f t="shared" si="87"/>
        <v/>
      </c>
      <c r="U53">
        <v>115</v>
      </c>
      <c r="V53">
        <v>-130</v>
      </c>
    </row>
    <row r="54">
      <c r="A54" t="s">
        <v>994</v>
      </c>
      <c r="B54">
        <v>53</v>
      </c>
      <c r="C54">
        <v>0</v>
      </c>
      <c r="D54">
        <v>0</v>
      </c>
      <c r="E54">
        <v>1</v>
      </c>
      <c r="F54">
        <v>7.5058160000000003</v>
      </c>
      <c r="G54">
        <v>0.051545109999999998</v>
      </c>
      <c r="H54">
        <v>1750</v>
      </c>
      <c r="N54">
        <f t="shared" si="86"/>
        <v>7.5058160000000003</v>
      </c>
      <c r="O54" t="str">
        <f t="shared" si="87"/>
        <v/>
      </c>
      <c r="U54">
        <v>115</v>
      </c>
      <c r="V54">
        <v>-130</v>
      </c>
    </row>
    <row r="55">
      <c r="A55" t="s">
        <v>995</v>
      </c>
      <c r="B55">
        <v>54</v>
      </c>
      <c r="C55">
        <v>0.000170407376698161</v>
      </c>
      <c r="D55">
        <v>0.85203688349080497</v>
      </c>
      <c r="E55">
        <v>2</v>
      </c>
      <c r="F55">
        <v>17.04449</v>
      </c>
      <c r="G55">
        <v>0.062134200000000001</v>
      </c>
      <c r="H55">
        <v>1750</v>
      </c>
      <c r="N55" t="str">
        <f t="shared" si="86"/>
        <v/>
      </c>
      <c r="O55">
        <f t="shared" si="87"/>
        <v>17.04449</v>
      </c>
      <c r="U55">
        <v>115</v>
      </c>
      <c r="V55">
        <v>-130</v>
      </c>
    </row>
    <row r="56">
      <c r="A56" t="s">
        <v>996</v>
      </c>
      <c r="B56">
        <v>55</v>
      </c>
      <c r="C56">
        <v>0.000124056661443949</v>
      </c>
      <c r="D56">
        <v>0.62028330721974501</v>
      </c>
      <c r="E56">
        <v>2</v>
      </c>
      <c r="F56">
        <v>18.000692999999998</v>
      </c>
      <c r="G56">
        <v>0.081845429999999997</v>
      </c>
      <c r="H56">
        <v>1750</v>
      </c>
      <c r="N56" t="str">
        <f t="shared" si="86"/>
        <v/>
      </c>
      <c r="O56">
        <f t="shared" si="87"/>
        <v>18.000692999999998</v>
      </c>
      <c r="U56">
        <v>115</v>
      </c>
      <c r="V56">
        <v>-130</v>
      </c>
    </row>
    <row r="57">
      <c r="A57" t="s">
        <v>997</v>
      </c>
      <c r="B57">
        <v>56</v>
      </c>
      <c r="C57">
        <v>9.0620939611839096e-05</v>
      </c>
      <c r="D57">
        <v>0.45310469805919545</v>
      </c>
      <c r="E57">
        <v>2</v>
      </c>
      <c r="F57">
        <v>18.576422999999998</v>
      </c>
      <c r="G57">
        <v>0.055814229999999999</v>
      </c>
      <c r="H57">
        <v>1750</v>
      </c>
      <c r="N57" t="str">
        <f t="shared" si="86"/>
        <v/>
      </c>
      <c r="O57">
        <f t="shared" si="87"/>
        <v>18.576422999999998</v>
      </c>
      <c r="U57">
        <v>115</v>
      </c>
      <c r="V57">
        <v>-130</v>
      </c>
    </row>
    <row r="58">
      <c r="A58" t="s">
        <v>998</v>
      </c>
      <c r="B58">
        <v>57</v>
      </c>
      <c r="C58">
        <v>5.4822667409370403e-05</v>
      </c>
      <c r="D58">
        <v>0.27411333704685198</v>
      </c>
      <c r="E58">
        <v>2</v>
      </c>
      <c r="F58">
        <v>20.254713000000002</v>
      </c>
      <c r="G58">
        <v>0.054676500000000003</v>
      </c>
      <c r="H58">
        <v>1750</v>
      </c>
      <c r="N58" t="str">
        <f t="shared" si="86"/>
        <v/>
      </c>
      <c r="O58">
        <f t="shared" si="87"/>
        <v>20.254713000000002</v>
      </c>
      <c r="U58">
        <v>115</v>
      </c>
      <c r="V58">
        <v>-130</v>
      </c>
    </row>
    <row r="59">
      <c r="A59" t="s">
        <v>999</v>
      </c>
      <c r="B59">
        <v>58</v>
      </c>
      <c r="C59">
        <v>0</v>
      </c>
      <c r="D59">
        <v>0</v>
      </c>
      <c r="E59">
        <v>1</v>
      </c>
      <c r="F59">
        <v>8.9382149999999996</v>
      </c>
      <c r="G59">
        <v>0.036257249999999998</v>
      </c>
      <c r="H59">
        <v>1750</v>
      </c>
      <c r="N59">
        <f t="shared" si="86"/>
        <v>8.9382149999999996</v>
      </c>
      <c r="O59" t="str">
        <f t="shared" si="87"/>
        <v/>
      </c>
      <c r="U59">
        <v>115</v>
      </c>
      <c r="V59">
        <v>-130</v>
      </c>
    </row>
    <row r="60">
      <c r="A60" t="s">
        <v>1000</v>
      </c>
      <c r="B60">
        <v>59</v>
      </c>
      <c r="C60">
        <v>0</v>
      </c>
      <c r="D60">
        <v>0</v>
      </c>
      <c r="E60">
        <v>1</v>
      </c>
      <c r="F60">
        <v>9.4439410000000006</v>
      </c>
      <c r="G60">
        <v>0.062150919999999998</v>
      </c>
      <c r="H60">
        <v>1750</v>
      </c>
      <c r="N60">
        <f t="shared" si="86"/>
        <v>9.4439410000000006</v>
      </c>
      <c r="O60" t="str">
        <f t="shared" si="87"/>
        <v/>
      </c>
      <c r="U60">
        <v>115</v>
      </c>
      <c r="V60">
        <v>-130</v>
      </c>
    </row>
    <row r="61">
      <c r="A61" t="s">
        <v>1001</v>
      </c>
      <c r="B61">
        <v>60</v>
      </c>
      <c r="C61">
        <v>0</v>
      </c>
      <c r="D61">
        <v>0</v>
      </c>
      <c r="E61">
        <v>1</v>
      </c>
      <c r="F61">
        <v>9.3726730000000007</v>
      </c>
      <c r="G61">
        <v>0.043680299999999998</v>
      </c>
      <c r="H61">
        <v>1750</v>
      </c>
      <c r="N61">
        <f t="shared" si="86"/>
        <v>9.3726730000000007</v>
      </c>
      <c r="O61" t="str">
        <f t="shared" si="87"/>
        <v/>
      </c>
      <c r="U61">
        <v>115</v>
      </c>
      <c r="V61">
        <v>-130</v>
      </c>
    </row>
    <row r="62">
      <c r="A62" t="s">
        <v>1002</v>
      </c>
      <c r="B62">
        <v>61</v>
      </c>
      <c r="C62">
        <v>0</v>
      </c>
      <c r="D62">
        <v>0</v>
      </c>
      <c r="E62">
        <v>1</v>
      </c>
      <c r="F62">
        <v>10.967957999999999</v>
      </c>
      <c r="G62">
        <v>0.039322959999999997</v>
      </c>
      <c r="H62">
        <v>1750</v>
      </c>
      <c r="N62">
        <f t="shared" si="86"/>
        <v>10.967957999999999</v>
      </c>
      <c r="O62" t="str">
        <f t="shared" si="87"/>
        <v/>
      </c>
      <c r="U62">
        <v>115</v>
      </c>
      <c r="V62">
        <v>-130</v>
      </c>
    </row>
    <row r="63">
      <c r="A63" t="s">
        <v>1003</v>
      </c>
      <c r="B63">
        <v>62</v>
      </c>
      <c r="C63">
        <v>5.1324985568886497e-05</v>
      </c>
      <c r="D63">
        <v>0.34216657045924337</v>
      </c>
      <c r="E63">
        <v>2</v>
      </c>
      <c r="F63">
        <v>20.403902000000002</v>
      </c>
      <c r="G63">
        <v>0.040646790000000002</v>
      </c>
      <c r="H63">
        <v>1750</v>
      </c>
      <c r="N63" t="str">
        <f t="shared" si="86"/>
        <v/>
      </c>
      <c r="O63">
        <f t="shared" si="87"/>
        <v>20.403902000000002</v>
      </c>
      <c r="U63">
        <v>115</v>
      </c>
      <c r="V63">
        <v>-130</v>
      </c>
    </row>
    <row r="64">
      <c r="A64" t="s">
        <v>1004</v>
      </c>
      <c r="B64">
        <v>63</v>
      </c>
      <c r="C64">
        <v>0.00014710465324225701</v>
      </c>
      <c r="D64">
        <v>0.98069768828171344</v>
      </c>
      <c r="E64">
        <v>2</v>
      </c>
      <c r="F64">
        <v>17.514367999999997</v>
      </c>
      <c r="G64">
        <v>0.047725999999999998</v>
      </c>
      <c r="H64">
        <v>1750</v>
      </c>
      <c r="N64" t="str">
        <f t="shared" si="86"/>
        <v/>
      </c>
      <c r="O64">
        <f t="shared" si="87"/>
        <v>17.514367999999997</v>
      </c>
      <c r="U64">
        <v>115</v>
      </c>
      <c r="V64">
        <v>-130</v>
      </c>
    </row>
    <row r="65">
      <c r="A65" t="s">
        <v>1005</v>
      </c>
      <c r="B65">
        <v>64</v>
      </c>
      <c r="C65">
        <v>0.000110328489931693</v>
      </c>
      <c r="D65">
        <v>0.73552326621128672</v>
      </c>
      <c r="E65">
        <v>2</v>
      </c>
      <c r="F65">
        <v>19.183844999999998</v>
      </c>
      <c r="G65">
        <v>0.044086119999999999</v>
      </c>
      <c r="H65">
        <v>1750</v>
      </c>
      <c r="N65" t="str">
        <f t="shared" si="86"/>
        <v/>
      </c>
      <c r="O65">
        <f t="shared" si="87"/>
        <v>19.183844999999998</v>
      </c>
      <c r="U65">
        <v>115</v>
      </c>
      <c r="V65">
        <v>-130</v>
      </c>
    </row>
    <row r="66">
      <c r="A66" t="s">
        <v>1006</v>
      </c>
      <c r="B66">
        <v>65</v>
      </c>
      <c r="C66">
        <v>7.7188153558196696e-05</v>
      </c>
      <c r="D66">
        <v>0.51458769038797803</v>
      </c>
      <c r="E66">
        <v>2</v>
      </c>
      <c r="F66">
        <v>19.136585</v>
      </c>
      <c r="G66">
        <v>0.050037169999999999</v>
      </c>
      <c r="H66">
        <v>1750</v>
      </c>
      <c r="N66" t="str">
        <f t="shared" si="86"/>
        <v/>
      </c>
      <c r="O66">
        <f t="shared" si="87"/>
        <v>19.136585</v>
      </c>
      <c r="U66">
        <v>115</v>
      </c>
      <c r="V66">
        <v>-130</v>
      </c>
    </row>
    <row r="67">
      <c r="A67" t="s">
        <v>1007</v>
      </c>
      <c r="B67">
        <v>66</v>
      </c>
      <c r="C67">
        <v>5.2684823315019302e-05</v>
      </c>
      <c r="D67">
        <v>0.35123215543346203</v>
      </c>
      <c r="E67">
        <v>2</v>
      </c>
      <c r="F67">
        <v>20.925553999999998</v>
      </c>
      <c r="G67">
        <v>0.047474080000000002</v>
      </c>
      <c r="H67">
        <v>1750</v>
      </c>
      <c r="N67" t="str">
        <f t="shared" si="86"/>
        <v/>
      </c>
      <c r="O67">
        <f t="shared" si="87"/>
        <v>20.925553999999998</v>
      </c>
      <c r="U67">
        <v>115</v>
      </c>
      <c r="V67">
        <v>-130</v>
      </c>
    </row>
    <row r="68">
      <c r="A68" t="s">
        <v>1008</v>
      </c>
      <c r="B68">
        <v>67</v>
      </c>
      <c r="C68">
        <v>3.0610726462886097e-05</v>
      </c>
      <c r="D68">
        <v>0.20407150975257399</v>
      </c>
      <c r="E68">
        <v>2</v>
      </c>
      <c r="F68">
        <v>18.82685</v>
      </c>
      <c r="G68">
        <v>0.035614920000000001</v>
      </c>
      <c r="H68">
        <v>1750</v>
      </c>
      <c r="N68" t="str">
        <f t="shared" si="86"/>
        <v/>
      </c>
      <c r="O68">
        <f t="shared" si="87"/>
        <v>18.82685</v>
      </c>
      <c r="U68">
        <v>115</v>
      </c>
      <c r="V68">
        <v>-130</v>
      </c>
    </row>
    <row r="69">
      <c r="A69" t="s">
        <v>1009</v>
      </c>
      <c r="B69">
        <v>68</v>
      </c>
      <c r="C69">
        <v>2.10235332491054e-05</v>
      </c>
      <c r="D69">
        <v>0.14015688832736933</v>
      </c>
      <c r="E69">
        <v>2</v>
      </c>
      <c r="F69">
        <v>19.449845</v>
      </c>
      <c r="G69">
        <v>0.083269930000000006</v>
      </c>
      <c r="H69">
        <v>1750</v>
      </c>
      <c r="N69" t="str">
        <f t="shared" si="86"/>
        <v/>
      </c>
      <c r="O69">
        <f t="shared" si="87"/>
        <v>19.449845</v>
      </c>
      <c r="U69">
        <v>115</v>
      </c>
      <c r="V69">
        <v>-130</v>
      </c>
    </row>
    <row r="70">
      <c r="A70" t="s">
        <v>1010</v>
      </c>
      <c r="B70">
        <v>69</v>
      </c>
      <c r="C70">
        <v>6.5477422197880901e-05</v>
      </c>
      <c r="D70">
        <v>0.43651614798587268</v>
      </c>
      <c r="E70">
        <v>2</v>
      </c>
      <c r="F70">
        <v>16.742079</v>
      </c>
      <c r="G70">
        <v>0.044695360000000003</v>
      </c>
      <c r="H70">
        <v>1750</v>
      </c>
      <c r="N70" t="str">
        <f t="shared" si="86"/>
        <v/>
      </c>
      <c r="O70">
        <f t="shared" si="87"/>
        <v>16.742079</v>
      </c>
      <c r="U70">
        <v>115</v>
      </c>
      <c r="V70">
        <v>-130</v>
      </c>
    </row>
    <row r="71">
      <c r="A71" t="s">
        <v>1011</v>
      </c>
      <c r="B71">
        <v>70</v>
      </c>
      <c r="C71">
        <v>0</v>
      </c>
      <c r="D71">
        <v>0</v>
      </c>
      <c r="E71">
        <v>1</v>
      </c>
      <c r="F71">
        <v>4.3832620000000002</v>
      </c>
      <c r="G71">
        <v>0.0431565</v>
      </c>
      <c r="H71">
        <v>1750</v>
      </c>
      <c r="N71">
        <f t="shared" si="86"/>
        <v>4.3832620000000002</v>
      </c>
      <c r="O71" t="str">
        <f t="shared" si="87"/>
        <v/>
      </c>
      <c r="U71">
        <v>115</v>
      </c>
      <c r="V71">
        <v>-130</v>
      </c>
    </row>
    <row r="72">
      <c r="A72" t="s">
        <v>1012</v>
      </c>
      <c r="B72">
        <v>71</v>
      </c>
      <c r="C72">
        <v>0</v>
      </c>
      <c r="D72">
        <v>0</v>
      </c>
      <c r="E72">
        <v>1</v>
      </c>
      <c r="F72">
        <v>5.1868569999999998</v>
      </c>
      <c r="G72">
        <v>0.036592979999999997</v>
      </c>
      <c r="H72">
        <v>1750</v>
      </c>
      <c r="N72">
        <f t="shared" si="86"/>
        <v>5.1868569999999998</v>
      </c>
      <c r="O72" t="str">
        <f t="shared" si="87"/>
        <v/>
      </c>
      <c r="U72">
        <v>115</v>
      </c>
      <c r="V72">
        <v>-130</v>
      </c>
    </row>
    <row r="73">
      <c r="A73" t="s">
        <v>1013</v>
      </c>
      <c r="B73">
        <v>72</v>
      </c>
      <c r="C73">
        <v>0</v>
      </c>
      <c r="D73">
        <v>0</v>
      </c>
      <c r="E73">
        <v>1</v>
      </c>
      <c r="F73">
        <v>5.51614</v>
      </c>
      <c r="G73">
        <v>0.04780098</v>
      </c>
      <c r="H73">
        <v>1750</v>
      </c>
      <c r="N73">
        <f t="shared" si="86"/>
        <v>5.51614</v>
      </c>
      <c r="O73" t="str">
        <f t="shared" si="87"/>
        <v/>
      </c>
      <c r="U73">
        <v>115</v>
      </c>
      <c r="V73">
        <v>-130</v>
      </c>
    </row>
    <row r="74">
      <c r="A74" t="s">
        <v>1014</v>
      </c>
      <c r="B74">
        <v>73</v>
      </c>
      <c r="C74">
        <v>0</v>
      </c>
      <c r="D74">
        <v>0</v>
      </c>
      <c r="E74">
        <v>1</v>
      </c>
      <c r="F74">
        <v>5.0225530000000003</v>
      </c>
      <c r="G74">
        <v>0.035956210000000002</v>
      </c>
      <c r="H74">
        <v>1750</v>
      </c>
      <c r="N74">
        <f t="shared" si="86"/>
        <v>5.0225530000000003</v>
      </c>
      <c r="O74" t="str">
        <f t="shared" si="87"/>
        <v/>
      </c>
      <c r="U74">
        <v>115</v>
      </c>
      <c r="V74">
        <v>-130</v>
      </c>
    </row>
    <row r="75">
      <c r="A75" t="s">
        <v>1015</v>
      </c>
      <c r="B75">
        <v>74</v>
      </c>
      <c r="C75">
        <v>0</v>
      </c>
      <c r="D75">
        <v>0</v>
      </c>
      <c r="E75">
        <v>1</v>
      </c>
      <c r="F75">
        <v>8.3628409999999995</v>
      </c>
      <c r="G75">
        <v>0.046327670000000001</v>
      </c>
      <c r="H75">
        <v>1750</v>
      </c>
      <c r="N75">
        <f t="shared" si="86"/>
        <v>8.3628409999999995</v>
      </c>
      <c r="O75" t="str">
        <f t="shared" si="87"/>
        <v/>
      </c>
      <c r="U75">
        <v>115</v>
      </c>
      <c r="V75">
        <v>-130</v>
      </c>
    </row>
    <row r="76">
      <c r="A76" t="s">
        <v>1016</v>
      </c>
      <c r="B76">
        <v>75</v>
      </c>
      <c r="C76">
        <v>0</v>
      </c>
      <c r="D76">
        <v>0</v>
      </c>
      <c r="E76">
        <v>1</v>
      </c>
      <c r="F76">
        <v>7.2817590000000001</v>
      </c>
      <c r="G76">
        <v>0.053030670000000002</v>
      </c>
      <c r="H76">
        <v>1750</v>
      </c>
      <c r="N76">
        <f t="shared" si="86"/>
        <v>7.2817590000000001</v>
      </c>
      <c r="O76" t="str">
        <f t="shared" si="87"/>
        <v/>
      </c>
      <c r="U76">
        <v>115</v>
      </c>
      <c r="V76">
        <v>-130</v>
      </c>
    </row>
    <row r="77">
      <c r="A77" t="s">
        <v>1017</v>
      </c>
      <c r="B77">
        <v>76</v>
      </c>
      <c r="C77">
        <v>0.00019692010969000001</v>
      </c>
      <c r="D77">
        <v>0.98832969201096899</v>
      </c>
      <c r="E77">
        <v>2</v>
      </c>
      <c r="F77">
        <v>18.930436</v>
      </c>
      <c r="G77">
        <v>0.077537250000000002</v>
      </c>
      <c r="H77">
        <v>1750</v>
      </c>
      <c r="N77" t="str">
        <f t="shared" si="86"/>
        <v/>
      </c>
      <c r="O77">
        <f t="shared" si="87"/>
        <v>18.930436</v>
      </c>
      <c r="U77">
        <v>115</v>
      </c>
      <c r="V77">
        <v>-130</v>
      </c>
    </row>
    <row r="78">
      <c r="A78" t="s">
        <v>1018</v>
      </c>
      <c r="B78">
        <v>77</v>
      </c>
      <c r="C78">
        <v>0</v>
      </c>
      <c r="D78">
        <v>0</v>
      </c>
      <c r="E78">
        <v>1</v>
      </c>
      <c r="F78">
        <v>6.1961810000000002</v>
      </c>
      <c r="G78">
        <v>0.055650489999999997</v>
      </c>
      <c r="H78">
        <v>1750</v>
      </c>
      <c r="N78">
        <f t="shared" si="86"/>
        <v>6.1961810000000002</v>
      </c>
      <c r="O78" t="str">
        <f t="shared" si="87"/>
        <v/>
      </c>
      <c r="U78">
        <v>115</v>
      </c>
      <c r="V78">
        <v>-130</v>
      </c>
    </row>
    <row r="79">
      <c r="A79" t="s">
        <v>1019</v>
      </c>
      <c r="B79">
        <v>78</v>
      </c>
      <c r="C79">
        <v>0</v>
      </c>
      <c r="D79">
        <v>0</v>
      </c>
      <c r="E79">
        <v>1</v>
      </c>
      <c r="F79">
        <v>9.2777460000000005</v>
      </c>
      <c r="G79">
        <v>0.05547945</v>
      </c>
      <c r="H79">
        <v>1750</v>
      </c>
      <c r="N79">
        <f t="shared" si="86"/>
        <v>9.2777460000000005</v>
      </c>
      <c r="O79" t="str">
        <f t="shared" si="87"/>
        <v/>
      </c>
      <c r="U79">
        <v>115</v>
      </c>
      <c r="V79">
        <v>-130</v>
      </c>
    </row>
    <row r="80">
      <c r="A80" t="s">
        <v>1020</v>
      </c>
      <c r="B80">
        <v>79</v>
      </c>
      <c r="C80">
        <v>0</v>
      </c>
      <c r="D80">
        <v>0</v>
      </c>
      <c r="E80">
        <v>1</v>
      </c>
      <c r="F80">
        <v>8.4324460000000006</v>
      </c>
      <c r="G80">
        <v>0.048156459999999998</v>
      </c>
      <c r="H80">
        <v>1750</v>
      </c>
      <c r="N80">
        <f t="shared" si="86"/>
        <v>8.4324460000000006</v>
      </c>
      <c r="O80" t="str">
        <f t="shared" si="87"/>
        <v/>
      </c>
      <c r="U80">
        <v>115</v>
      </c>
      <c r="V80">
        <v>-130</v>
      </c>
    </row>
    <row r="81">
      <c r="A81" t="s">
        <v>1021</v>
      </c>
      <c r="B81">
        <v>80</v>
      </c>
      <c r="C81">
        <v>0</v>
      </c>
      <c r="D81">
        <v>0</v>
      </c>
      <c r="E81">
        <v>1</v>
      </c>
      <c r="F81">
        <v>8.4506689999999995</v>
      </c>
      <c r="G81">
        <v>0.03526986</v>
      </c>
      <c r="H81">
        <v>1750</v>
      </c>
      <c r="N81">
        <f t="shared" si="86"/>
        <v>8.4506689999999995</v>
      </c>
      <c r="O81" t="str">
        <f t="shared" si="87"/>
        <v/>
      </c>
      <c r="U81">
        <v>115</v>
      </c>
      <c r="V81">
        <v>-130</v>
      </c>
    </row>
    <row r="82">
      <c r="A82" t="s">
        <v>1022</v>
      </c>
      <c r="B82">
        <v>81</v>
      </c>
      <c r="C82">
        <v>0</v>
      </c>
      <c r="D82">
        <v>0</v>
      </c>
      <c r="E82">
        <v>1</v>
      </c>
      <c r="F82">
        <v>7.9621870000000001</v>
      </c>
      <c r="G82">
        <v>0.049750559999999999</v>
      </c>
      <c r="H82">
        <v>1750</v>
      </c>
      <c r="N82">
        <f t="shared" si="86"/>
        <v>7.9621870000000001</v>
      </c>
      <c r="O82" t="str">
        <f t="shared" si="87"/>
        <v/>
      </c>
      <c r="U82">
        <v>115</v>
      </c>
      <c r="V82">
        <v>-130</v>
      </c>
    </row>
    <row r="83">
      <c r="A83" t="s">
        <v>1023</v>
      </c>
      <c r="B83">
        <v>82</v>
      </c>
      <c r="C83">
        <v>0</v>
      </c>
      <c r="D83">
        <v>0</v>
      </c>
      <c r="E83">
        <v>1</v>
      </c>
      <c r="F83">
        <v>9.6080579999999998</v>
      </c>
      <c r="G83">
        <v>0.053703399999999998</v>
      </c>
      <c r="H83">
        <v>1750</v>
      </c>
      <c r="N83">
        <f t="shared" si="86"/>
        <v>9.6080579999999998</v>
      </c>
      <c r="O83" t="str">
        <f t="shared" si="87"/>
        <v/>
      </c>
      <c r="U83">
        <v>115</v>
      </c>
      <c r="V83">
        <v>-130</v>
      </c>
    </row>
    <row r="84">
      <c r="A84" t="s">
        <v>1024</v>
      </c>
      <c r="B84">
        <v>83</v>
      </c>
      <c r="C84">
        <v>0</v>
      </c>
      <c r="D84">
        <v>0</v>
      </c>
      <c r="E84">
        <v>1</v>
      </c>
      <c r="F84">
        <v>9.9649549999999998</v>
      </c>
      <c r="G84">
        <v>0.062671480000000002</v>
      </c>
      <c r="H84">
        <v>1750</v>
      </c>
      <c r="N84">
        <f t="shared" si="86"/>
        <v>9.9649549999999998</v>
      </c>
      <c r="O84" t="str">
        <f t="shared" si="87"/>
        <v/>
      </c>
      <c r="U84">
        <v>115</v>
      </c>
      <c r="V84">
        <v>-130</v>
      </c>
    </row>
    <row r="85">
      <c r="A85" t="s">
        <v>1025</v>
      </c>
      <c r="B85">
        <v>84</v>
      </c>
      <c r="C85">
        <v>0</v>
      </c>
      <c r="D85">
        <v>0</v>
      </c>
      <c r="E85">
        <v>1</v>
      </c>
      <c r="F85">
        <v>9.8723089999999996</v>
      </c>
      <c r="G85">
        <v>0.046683889999999999</v>
      </c>
      <c r="H85">
        <v>1750</v>
      </c>
      <c r="N85">
        <f t="shared" si="86"/>
        <v>9.8723089999999996</v>
      </c>
      <c r="O85" t="str">
        <f t="shared" si="87"/>
        <v/>
      </c>
      <c r="U85">
        <v>115</v>
      </c>
      <c r="V85">
        <v>-130</v>
      </c>
    </row>
    <row r="86">
      <c r="A86" t="s">
        <v>1026</v>
      </c>
      <c r="B86">
        <v>85</v>
      </c>
      <c r="C86">
        <v>0</v>
      </c>
      <c r="D86">
        <v>0</v>
      </c>
      <c r="E86">
        <v>1</v>
      </c>
      <c r="F86">
        <v>10.902982999999999</v>
      </c>
      <c r="G86">
        <v>0.062129770000000001</v>
      </c>
      <c r="H86">
        <v>1750</v>
      </c>
      <c r="N86">
        <f t="shared" si="86"/>
        <v>10.902982999999999</v>
      </c>
      <c r="O86" t="str">
        <f t="shared" si="87"/>
        <v/>
      </c>
      <c r="U86">
        <v>115</v>
      </c>
      <c r="V86">
        <v>-130</v>
      </c>
    </row>
    <row r="87">
      <c r="A87" t="s">
        <v>1027</v>
      </c>
      <c r="B87">
        <v>86</v>
      </c>
      <c r="C87">
        <v>0</v>
      </c>
      <c r="D87">
        <v>0</v>
      </c>
      <c r="E87">
        <v>1</v>
      </c>
      <c r="F87">
        <v>10.210287000000001</v>
      </c>
      <c r="G87">
        <v>0.044978240000000003</v>
      </c>
      <c r="H87">
        <v>1750</v>
      </c>
      <c r="N87">
        <f t="shared" si="86"/>
        <v>10.210287000000001</v>
      </c>
      <c r="O87" t="str">
        <f t="shared" si="87"/>
        <v/>
      </c>
      <c r="U87">
        <v>115</v>
      </c>
      <c r="V87">
        <v>-130</v>
      </c>
    </row>
    <row r="88">
      <c r="A88" t="s">
        <v>1028</v>
      </c>
      <c r="B88">
        <v>87</v>
      </c>
      <c r="C88">
        <v>0</v>
      </c>
      <c r="D88">
        <v>0</v>
      </c>
      <c r="E88">
        <v>1</v>
      </c>
      <c r="F88">
        <v>11.879766</v>
      </c>
      <c r="G88">
        <v>0.03159203</v>
      </c>
      <c r="H88">
        <v>1750</v>
      </c>
      <c r="N88">
        <f t="shared" si="86"/>
        <v>11.879766</v>
      </c>
      <c r="O88" t="str">
        <f t="shared" si="87"/>
        <v/>
      </c>
      <c r="U88">
        <v>115</v>
      </c>
      <c r="V88">
        <v>-130</v>
      </c>
    </row>
    <row r="89">
      <c r="A89" t="s">
        <v>1029</v>
      </c>
      <c r="B89">
        <v>88</v>
      </c>
      <c r="C89">
        <v>0</v>
      </c>
      <c r="D89">
        <v>0</v>
      </c>
      <c r="E89">
        <v>1</v>
      </c>
      <c r="F89">
        <v>10.043424</v>
      </c>
      <c r="G89">
        <v>0.052201350000000001</v>
      </c>
      <c r="H89">
        <v>1750</v>
      </c>
      <c r="N89">
        <f t="shared" si="86"/>
        <v>10.043424</v>
      </c>
      <c r="O89" t="str">
        <f t="shared" si="87"/>
        <v/>
      </c>
      <c r="U89">
        <v>115</v>
      </c>
      <c r="V89">
        <v>-130</v>
      </c>
    </row>
    <row r="90">
      <c r="A90" t="s">
        <v>1030</v>
      </c>
      <c r="B90">
        <v>89</v>
      </c>
      <c r="C90">
        <v>6.3655321851358105e-05</v>
      </c>
      <c r="D90">
        <v>0.63655321851358104</v>
      </c>
      <c r="E90">
        <v>2</v>
      </c>
      <c r="F90">
        <v>21.814674</v>
      </c>
      <c r="G90">
        <v>0.061792809999999997</v>
      </c>
      <c r="H90">
        <v>1750</v>
      </c>
      <c r="N90" t="str">
        <f t="shared" si="86"/>
        <v/>
      </c>
      <c r="O90">
        <f t="shared" si="87"/>
        <v>21.814674</v>
      </c>
      <c r="U90">
        <v>115</v>
      </c>
      <c r="V90">
        <v>-130</v>
      </c>
    </row>
    <row r="91">
      <c r="A91" t="s">
        <v>1031</v>
      </c>
      <c r="B91">
        <v>90</v>
      </c>
      <c r="C91">
        <v>3.9446165846632002e-05</v>
      </c>
      <c r="D91">
        <v>0.39446165846631998</v>
      </c>
      <c r="E91">
        <v>2</v>
      </c>
      <c r="F91">
        <v>22.69923</v>
      </c>
      <c r="G91">
        <v>0.03955173</v>
      </c>
      <c r="H91">
        <v>1750</v>
      </c>
      <c r="N91" t="str">
        <f t="shared" si="86"/>
        <v/>
      </c>
      <c r="O91">
        <f t="shared" si="87"/>
        <v>22.69923</v>
      </c>
      <c r="U91">
        <v>115</v>
      </c>
      <c r="V91">
        <v>-130</v>
      </c>
    </row>
    <row r="92">
      <c r="A92" t="s">
        <v>1032</v>
      </c>
      <c r="B92">
        <v>91</v>
      </c>
      <c r="C92">
        <v>0</v>
      </c>
      <c r="D92">
        <v>0</v>
      </c>
      <c r="E92">
        <v>1</v>
      </c>
      <c r="F92">
        <v>9.4456059999999997</v>
      </c>
      <c r="G92">
        <v>0.047683209999999997</v>
      </c>
      <c r="H92">
        <v>1750</v>
      </c>
      <c r="N92">
        <f t="shared" si="86"/>
        <v>9.4456059999999997</v>
      </c>
      <c r="O92" t="str">
        <f t="shared" si="87"/>
        <v/>
      </c>
      <c r="U92">
        <v>115</v>
      </c>
      <c r="V92">
        <v>-130</v>
      </c>
    </row>
    <row r="93">
      <c r="A93" t="s">
        <v>1033</v>
      </c>
      <c r="B93">
        <v>92</v>
      </c>
      <c r="C93">
        <v>0.000114140264587042</v>
      </c>
      <c r="D93">
        <v>0.67141332110024698</v>
      </c>
      <c r="E93">
        <v>2</v>
      </c>
      <c r="F93">
        <v>20.117454000000002</v>
      </c>
      <c r="G93">
        <v>0.043242040000000002</v>
      </c>
      <c r="H93">
        <v>1750</v>
      </c>
      <c r="N93" t="str">
        <f t="shared" si="86"/>
        <v/>
      </c>
      <c r="O93">
        <f t="shared" si="87"/>
        <v>20.117454000000002</v>
      </c>
      <c r="U93">
        <v>115</v>
      </c>
      <c r="V93">
        <v>-130</v>
      </c>
    </row>
    <row r="94">
      <c r="A94" t="s">
        <v>1034</v>
      </c>
      <c r="B94">
        <v>93</v>
      </c>
      <c r="C94">
        <v>5.2345009313209601e-05</v>
      </c>
      <c r="D94">
        <v>0.30791181948946822</v>
      </c>
      <c r="E94">
        <v>2</v>
      </c>
      <c r="F94">
        <v>18.590636</v>
      </c>
      <c r="G94">
        <v>0.063031169999999997</v>
      </c>
      <c r="H94">
        <v>1750</v>
      </c>
      <c r="N94" t="str">
        <f t="shared" si="86"/>
        <v/>
      </c>
      <c r="O94">
        <f t="shared" si="87"/>
        <v>18.590636</v>
      </c>
      <c r="U94">
        <v>115</v>
      </c>
      <c r="V94">
        <v>-130</v>
      </c>
    </row>
    <row r="95">
      <c r="A95" t="s">
        <v>1035</v>
      </c>
      <c r="B95">
        <v>94</v>
      </c>
      <c r="C95">
        <v>0</v>
      </c>
      <c r="D95">
        <v>0</v>
      </c>
      <c r="E95">
        <v>1</v>
      </c>
      <c r="F95">
        <v>8.4319240000000004</v>
      </c>
      <c r="G95">
        <v>0.044243169999999998</v>
      </c>
      <c r="H95">
        <v>1750</v>
      </c>
      <c r="N95">
        <f t="shared" si="86"/>
        <v>8.4319240000000004</v>
      </c>
      <c r="O95" t="str">
        <f t="shared" si="87"/>
        <v/>
      </c>
      <c r="U95">
        <v>115</v>
      </c>
      <c r="V95">
        <v>-130</v>
      </c>
    </row>
    <row r="96">
      <c r="A96" t="s">
        <v>1036</v>
      </c>
      <c r="B96">
        <v>95</v>
      </c>
      <c r="C96">
        <v>0</v>
      </c>
      <c r="D96">
        <v>0</v>
      </c>
      <c r="E96">
        <v>1</v>
      </c>
      <c r="F96">
        <v>8.1773070000000008</v>
      </c>
      <c r="G96">
        <v>0.03047472</v>
      </c>
      <c r="H96">
        <v>1750</v>
      </c>
      <c r="N96">
        <f t="shared" si="86"/>
        <v>8.1773070000000008</v>
      </c>
      <c r="O96" t="str">
        <f t="shared" si="87"/>
        <v/>
      </c>
      <c r="U96">
        <v>115</v>
      </c>
      <c r="V96">
        <v>-130</v>
      </c>
    </row>
    <row r="97">
      <c r="A97" t="s">
        <v>1037</v>
      </c>
      <c r="B97">
        <v>96</v>
      </c>
      <c r="C97">
        <v>0</v>
      </c>
      <c r="D97">
        <v>0</v>
      </c>
      <c r="E97">
        <v>1</v>
      </c>
      <c r="F97">
        <v>8.58263</v>
      </c>
      <c r="G97">
        <v>0.0460051</v>
      </c>
      <c r="H97">
        <v>1750</v>
      </c>
      <c r="N97">
        <f t="shared" si="86"/>
        <v>8.58263</v>
      </c>
      <c r="O97" t="str">
        <f t="shared" si="87"/>
        <v/>
      </c>
      <c r="U97">
        <v>115</v>
      </c>
      <c r="V97">
        <v>-130</v>
      </c>
    </row>
    <row r="98">
      <c r="A98" t="s">
        <v>1038</v>
      </c>
      <c r="B98">
        <v>97</v>
      </c>
      <c r="C98">
        <v>0</v>
      </c>
      <c r="D98">
        <v>0</v>
      </c>
      <c r="E98">
        <v>1</v>
      </c>
      <c r="F98">
        <v>8.1287109999999991</v>
      </c>
      <c r="G98">
        <v>0.04889922</v>
      </c>
      <c r="H98">
        <v>1750</v>
      </c>
      <c r="N98">
        <f t="shared" ref="N98:N122" si="88">IF(E98=1,F98,"")</f>
        <v>8.1287109999999991</v>
      </c>
      <c r="O98" t="str">
        <f t="shared" ref="O98:O122" si="89">IF(E98=2,F98,"")</f>
        <v/>
      </c>
      <c r="U98">
        <v>115</v>
      </c>
      <c r="V98">
        <v>-130</v>
      </c>
    </row>
    <row r="99">
      <c r="A99" t="s">
        <v>1039</v>
      </c>
      <c r="B99">
        <v>98</v>
      </c>
      <c r="C99">
        <v>3.9698866482558398e-05</v>
      </c>
      <c r="D99">
        <v>0.79397732965116796</v>
      </c>
      <c r="E99">
        <v>2</v>
      </c>
      <c r="F99">
        <v>22.729278999999998</v>
      </c>
      <c r="G99">
        <v>0.058132370000000003</v>
      </c>
      <c r="H99">
        <v>1750</v>
      </c>
      <c r="N99" t="str">
        <f t="shared" si="88"/>
        <v/>
      </c>
      <c r="O99">
        <f t="shared" si="89"/>
        <v>22.729278999999998</v>
      </c>
      <c r="U99">
        <v>115</v>
      </c>
      <c r="V99">
        <v>-130</v>
      </c>
    </row>
    <row r="100">
      <c r="A100" t="s">
        <v>1040</v>
      </c>
      <c r="B100">
        <v>99</v>
      </c>
      <c r="C100">
        <v>2.9999999999999899e-05</v>
      </c>
      <c r="D100">
        <v>0.59999999999999798</v>
      </c>
      <c r="E100">
        <v>1</v>
      </c>
      <c r="F100">
        <v>14.124672</v>
      </c>
      <c r="G100">
        <v>0.048299759999999997</v>
      </c>
      <c r="H100">
        <v>1750</v>
      </c>
      <c r="N100">
        <f t="shared" si="88"/>
        <v>14.124672</v>
      </c>
      <c r="O100" t="str">
        <f t="shared" si="89"/>
        <v/>
      </c>
      <c r="U100">
        <v>115</v>
      </c>
      <c r="V100">
        <v>-130</v>
      </c>
    </row>
    <row r="101">
      <c r="A101" t="s">
        <v>1041</v>
      </c>
      <c r="B101">
        <v>100</v>
      </c>
      <c r="C101">
        <v>2.0099751242241698e-05</v>
      </c>
      <c r="D101">
        <v>0.40199502484483396</v>
      </c>
      <c r="E101">
        <v>1</v>
      </c>
      <c r="F101">
        <v>13.329526000000001</v>
      </c>
      <c r="G101">
        <v>0.0425023</v>
      </c>
      <c r="H101">
        <v>1750</v>
      </c>
      <c r="N101">
        <f t="shared" si="88"/>
        <v>13.329526000000001</v>
      </c>
      <c r="O101" t="str">
        <f t="shared" si="89"/>
        <v/>
      </c>
      <c r="U101">
        <v>115</v>
      </c>
      <c r="V101">
        <v>-130</v>
      </c>
    </row>
    <row r="102">
      <c r="A102" t="s">
        <v>1042</v>
      </c>
      <c r="B102">
        <v>101</v>
      </c>
      <c r="C102">
        <v>2.0000000000000002e-05</v>
      </c>
      <c r="D102">
        <v>0.40000000000000002</v>
      </c>
      <c r="E102">
        <v>1</v>
      </c>
      <c r="F102">
        <v>14.161534</v>
      </c>
      <c r="G102">
        <v>0.059528009999999999</v>
      </c>
      <c r="H102">
        <v>1750</v>
      </c>
      <c r="N102">
        <f t="shared" si="88"/>
        <v>14.161534</v>
      </c>
      <c r="O102" t="str">
        <f t="shared" si="89"/>
        <v/>
      </c>
      <c r="U102">
        <v>115</v>
      </c>
      <c r="V102">
        <v>-130</v>
      </c>
    </row>
    <row r="103">
      <c r="A103" t="s">
        <v>1043</v>
      </c>
      <c r="B103">
        <v>102</v>
      </c>
      <c r="C103">
        <v>2.4738633753705899e-05</v>
      </c>
      <c r="D103">
        <v>0.49477267507411798</v>
      </c>
      <c r="E103">
        <v>1</v>
      </c>
      <c r="F103">
        <v>15.679517000000001</v>
      </c>
      <c r="G103">
        <v>0.047778660000000001</v>
      </c>
      <c r="H103">
        <v>1750</v>
      </c>
      <c r="N103">
        <f t="shared" si="88"/>
        <v>15.679517000000001</v>
      </c>
      <c r="O103" t="str">
        <f t="shared" si="89"/>
        <v/>
      </c>
      <c r="U103">
        <v>115</v>
      </c>
      <c r="V103">
        <v>-130</v>
      </c>
    </row>
    <row r="104">
      <c r="A104" t="s">
        <v>1044</v>
      </c>
      <c r="B104">
        <v>103</v>
      </c>
      <c r="C104">
        <v>3.8832975677895102e-05</v>
      </c>
      <c r="D104">
        <v>0.77665951355790197</v>
      </c>
      <c r="E104">
        <v>1</v>
      </c>
      <c r="F104">
        <v>13.237559000000001</v>
      </c>
      <c r="G104">
        <v>0.028237930000000001</v>
      </c>
      <c r="H104">
        <v>1750</v>
      </c>
      <c r="N104">
        <f t="shared" si="88"/>
        <v>13.237559000000001</v>
      </c>
      <c r="O104" t="str">
        <f t="shared" si="89"/>
        <v/>
      </c>
      <c r="U104">
        <v>115</v>
      </c>
      <c r="V104">
        <v>-130</v>
      </c>
    </row>
    <row r="105">
      <c r="A105" t="s">
        <v>1045</v>
      </c>
      <c r="B105">
        <v>104</v>
      </c>
      <c r="C105">
        <v>1.9798989873223299e-05</v>
      </c>
      <c r="D105">
        <v>0.39597979746446593</v>
      </c>
      <c r="E105">
        <v>1</v>
      </c>
      <c r="F105">
        <v>13.005855</v>
      </c>
      <c r="G105">
        <v>0.069733100000000006</v>
      </c>
      <c r="H105">
        <v>1750</v>
      </c>
      <c r="N105">
        <f t="shared" si="88"/>
        <v>13.005855</v>
      </c>
      <c r="O105" t="str">
        <f t="shared" si="89"/>
        <v/>
      </c>
      <c r="U105">
        <v>115</v>
      </c>
      <c r="V105">
        <v>-130</v>
      </c>
    </row>
    <row r="106">
      <c r="A106" t="s">
        <v>1046</v>
      </c>
      <c r="B106">
        <v>105</v>
      </c>
      <c r="C106">
        <v>2.4738633753705899e-05</v>
      </c>
      <c r="D106">
        <v>0.49477267507411798</v>
      </c>
      <c r="E106">
        <v>1</v>
      </c>
      <c r="F106">
        <v>12.114978000000001</v>
      </c>
      <c r="G106">
        <v>0.044366019999999999</v>
      </c>
      <c r="H106">
        <v>1750</v>
      </c>
      <c r="N106">
        <f t="shared" si="88"/>
        <v>12.114978000000001</v>
      </c>
      <c r="O106" t="str">
        <f t="shared" si="89"/>
        <v/>
      </c>
      <c r="U106">
        <v>115</v>
      </c>
      <c r="V106">
        <v>-130</v>
      </c>
    </row>
    <row r="107">
      <c r="A107" t="s">
        <v>1047</v>
      </c>
      <c r="B107">
        <v>106</v>
      </c>
      <c r="C107">
        <v>4.4944410108488397e-05</v>
      </c>
      <c r="D107">
        <v>0.89888820216976795</v>
      </c>
      <c r="E107">
        <v>1</v>
      </c>
      <c r="F107">
        <v>12.230019</v>
      </c>
      <c r="G107">
        <v>0.045871450000000001</v>
      </c>
      <c r="H107">
        <v>1750</v>
      </c>
      <c r="N107">
        <f t="shared" si="88"/>
        <v>12.230019</v>
      </c>
      <c r="O107" t="str">
        <f t="shared" si="89"/>
        <v/>
      </c>
      <c r="U107">
        <v>115</v>
      </c>
      <c r="V107">
        <v>-130</v>
      </c>
    </row>
    <row r="108">
      <c r="A108" t="s">
        <v>1048</v>
      </c>
      <c r="B108">
        <v>107</v>
      </c>
      <c r="C108">
        <v>0</v>
      </c>
      <c r="D108">
        <v>0</v>
      </c>
      <c r="E108">
        <v>1</v>
      </c>
      <c r="F108">
        <v>12.007882</v>
      </c>
      <c r="G108">
        <v>0.051333030000000002</v>
      </c>
      <c r="H108">
        <v>1750</v>
      </c>
      <c r="N108">
        <f t="shared" si="88"/>
        <v>12.007882</v>
      </c>
      <c r="O108" t="str">
        <f t="shared" si="89"/>
        <v/>
      </c>
      <c r="U108">
        <v>115</v>
      </c>
      <c r="V108">
        <v>-130</v>
      </c>
    </row>
    <row r="109">
      <c r="A109" t="s">
        <v>1049</v>
      </c>
      <c r="B109">
        <v>108</v>
      </c>
      <c r="C109">
        <v>2.0999999999999999e-05</v>
      </c>
      <c r="D109">
        <v>0.52499999999999991</v>
      </c>
      <c r="E109">
        <v>2</v>
      </c>
      <c r="F109">
        <v>19.514184999999998</v>
      </c>
      <c r="G109">
        <v>0.050281659999999999</v>
      </c>
      <c r="H109">
        <v>1750</v>
      </c>
      <c r="N109" t="str">
        <f t="shared" si="88"/>
        <v/>
      </c>
      <c r="O109">
        <f t="shared" si="89"/>
        <v>19.514184999999998</v>
      </c>
      <c r="U109">
        <v>115</v>
      </c>
      <c r="V109">
        <v>-130</v>
      </c>
    </row>
    <row r="110">
      <c r="A110" t="s">
        <v>1050</v>
      </c>
      <c r="B110">
        <v>109</v>
      </c>
      <c r="C110">
        <v>1.9000000000000001e-05</v>
      </c>
      <c r="D110">
        <v>0.47499999999999998</v>
      </c>
      <c r="E110">
        <v>2</v>
      </c>
      <c r="F110">
        <v>20.891158000000001</v>
      </c>
      <c r="G110">
        <v>0.056191310000000001</v>
      </c>
      <c r="H110">
        <v>1750</v>
      </c>
      <c r="N110" t="str">
        <f t="shared" si="88"/>
        <v/>
      </c>
      <c r="O110">
        <f t="shared" si="89"/>
        <v>20.891158000000001</v>
      </c>
      <c r="U110">
        <v>115</v>
      </c>
      <c r="V110">
        <v>-130</v>
      </c>
    </row>
    <row r="111">
      <c r="A111" t="s">
        <v>1051</v>
      </c>
      <c r="B111">
        <v>110</v>
      </c>
      <c r="C111">
        <v>1.03310501211928e-05</v>
      </c>
      <c r="D111">
        <v>0.25827625302981999</v>
      </c>
      <c r="E111">
        <v>2</v>
      </c>
      <c r="F111">
        <v>21.892158000000002</v>
      </c>
      <c r="G111">
        <v>0.05471811</v>
      </c>
      <c r="H111">
        <v>1750</v>
      </c>
      <c r="N111" t="str">
        <f t="shared" si="88"/>
        <v/>
      </c>
      <c r="O111">
        <f t="shared" si="89"/>
        <v>21.892158000000002</v>
      </c>
      <c r="U111">
        <v>115</v>
      </c>
      <c r="V111">
        <v>-130</v>
      </c>
    </row>
    <row r="112">
      <c r="A112" s="3" t="s">
        <v>1052</v>
      </c>
      <c r="B112">
        <v>111</v>
      </c>
      <c r="C112">
        <v>3.60555127546398e-05</v>
      </c>
      <c r="D112">
        <v>0.90138781886599495</v>
      </c>
      <c r="E112">
        <v>2</v>
      </c>
      <c r="F112">
        <v>18.587547999999998</v>
      </c>
      <c r="G112">
        <v>0.040949319999999997</v>
      </c>
      <c r="H112">
        <v>1750</v>
      </c>
      <c r="N112" t="str">
        <f t="shared" si="88"/>
        <v/>
      </c>
      <c r="O112">
        <f t="shared" si="89"/>
        <v>18.587547999999998</v>
      </c>
      <c r="U112">
        <v>115</v>
      </c>
      <c r="V112">
        <v>-130</v>
      </c>
    </row>
    <row r="113">
      <c r="A113" t="s">
        <v>1053</v>
      </c>
      <c r="B113">
        <v>112</v>
      </c>
      <c r="C113">
        <v>2.8806130178211e-05</v>
      </c>
      <c r="D113">
        <v>0.72015325445527489</v>
      </c>
      <c r="E113">
        <v>2</v>
      </c>
      <c r="F113">
        <v>18.80565</v>
      </c>
      <c r="G113">
        <v>0.044351059999999998</v>
      </c>
      <c r="H113">
        <v>1750</v>
      </c>
      <c r="N113" t="str">
        <f t="shared" si="88"/>
        <v/>
      </c>
      <c r="O113">
        <f t="shared" si="89"/>
        <v>18.80565</v>
      </c>
      <c r="U113">
        <v>115</v>
      </c>
      <c r="V113">
        <v>-130</v>
      </c>
    </row>
    <row r="114">
      <c r="A114" t="s">
        <v>1054</v>
      </c>
      <c r="B114">
        <v>113</v>
      </c>
      <c r="C114">
        <v>1.84390889145857e-05</v>
      </c>
      <c r="D114">
        <v>0.46097722286464249</v>
      </c>
      <c r="E114">
        <v>1</v>
      </c>
      <c r="F114">
        <v>12.804639999999999</v>
      </c>
      <c r="G114">
        <v>0.078875420000000002</v>
      </c>
      <c r="H114">
        <v>1750</v>
      </c>
      <c r="N114">
        <f t="shared" si="88"/>
        <v>12.804639999999999</v>
      </c>
      <c r="O114" t="str">
        <f t="shared" si="89"/>
        <v/>
      </c>
      <c r="U114">
        <v>115</v>
      </c>
      <c r="V114">
        <v>-130</v>
      </c>
    </row>
    <row r="115">
      <c r="A115" t="s">
        <v>1055</v>
      </c>
      <c r="B115">
        <v>114</v>
      </c>
      <c r="C115">
        <v>0</v>
      </c>
      <c r="D115">
        <v>0</v>
      </c>
      <c r="E115">
        <v>1</v>
      </c>
      <c r="F115">
        <v>5.9578560000000005</v>
      </c>
      <c r="G115">
        <v>0.033300339999999998</v>
      </c>
      <c r="H115">
        <v>1750</v>
      </c>
      <c r="N115">
        <f t="shared" si="88"/>
        <v>5.9578560000000005</v>
      </c>
      <c r="O115" t="str">
        <f t="shared" si="89"/>
        <v/>
      </c>
      <c r="U115">
        <v>115</v>
      </c>
      <c r="V115">
        <v>-130</v>
      </c>
    </row>
    <row r="116">
      <c r="A116" t="s">
        <v>1056</v>
      </c>
      <c r="B116">
        <v>115</v>
      </c>
      <c r="C116">
        <v>0</v>
      </c>
      <c r="D116">
        <v>0</v>
      </c>
      <c r="E116">
        <v>1</v>
      </c>
      <c r="F116">
        <v>5.7730949999999996</v>
      </c>
      <c r="G116">
        <v>0.03714431</v>
      </c>
      <c r="H116">
        <v>1750</v>
      </c>
      <c r="N116">
        <f t="shared" si="88"/>
        <v>5.7730949999999996</v>
      </c>
      <c r="O116" t="str">
        <f t="shared" si="89"/>
        <v/>
      </c>
      <c r="U116">
        <v>115</v>
      </c>
      <c r="V116">
        <v>-130</v>
      </c>
    </row>
    <row r="117">
      <c r="A117" t="s">
        <v>1057</v>
      </c>
      <c r="B117">
        <v>116</v>
      </c>
      <c r="C117">
        <v>0</v>
      </c>
      <c r="D117">
        <v>0</v>
      </c>
      <c r="E117">
        <v>1</v>
      </c>
      <c r="F117">
        <v>7.4801140000000004</v>
      </c>
      <c r="G117">
        <v>0.056185869999999999</v>
      </c>
      <c r="H117">
        <v>1750</v>
      </c>
      <c r="N117">
        <f t="shared" si="88"/>
        <v>7.4801140000000004</v>
      </c>
      <c r="O117" t="str">
        <f t="shared" si="89"/>
        <v/>
      </c>
      <c r="U117">
        <v>115</v>
      </c>
      <c r="V117">
        <v>-130</v>
      </c>
    </row>
    <row r="118">
      <c r="A118" t="s">
        <v>1058</v>
      </c>
      <c r="B118">
        <v>117</v>
      </c>
      <c r="C118">
        <v>3.1304951684997e-05</v>
      </c>
      <c r="D118">
        <v>0.15652475842498501</v>
      </c>
      <c r="E118">
        <v>2</v>
      </c>
      <c r="F118">
        <v>14.9964</v>
      </c>
      <c r="G118">
        <v>0.049356400000000002</v>
      </c>
      <c r="H118">
        <v>1750</v>
      </c>
      <c r="N118" t="str">
        <f t="shared" si="88"/>
        <v/>
      </c>
      <c r="O118">
        <f t="shared" si="89"/>
        <v>14.9964</v>
      </c>
      <c r="U118">
        <v>115</v>
      </c>
      <c r="V118">
        <v>-130</v>
      </c>
    </row>
    <row r="119">
      <c r="A119" t="s">
        <v>1059</v>
      </c>
      <c r="B119">
        <v>118</v>
      </c>
      <c r="C119">
        <v>6.7911707385398502e-05</v>
      </c>
      <c r="D119">
        <v>0.3395585369269925</v>
      </c>
      <c r="E119">
        <v>2</v>
      </c>
      <c r="F119">
        <v>13.268881</v>
      </c>
      <c r="G119">
        <v>0.083910810000000002</v>
      </c>
      <c r="H119">
        <v>1750</v>
      </c>
      <c r="N119" t="str">
        <f t="shared" si="88"/>
        <v/>
      </c>
      <c r="O119">
        <f t="shared" si="89"/>
        <v>13.268881</v>
      </c>
      <c r="U119">
        <v>115</v>
      </c>
      <c r="V119">
        <v>-130</v>
      </c>
    </row>
    <row r="120">
      <c r="A120" t="s">
        <v>1060</v>
      </c>
      <c r="B120">
        <v>119</v>
      </c>
      <c r="C120">
        <v>5.5785302723925397e-05</v>
      </c>
      <c r="D120">
        <v>0.27892651361962695</v>
      </c>
      <c r="E120">
        <v>2</v>
      </c>
      <c r="F120">
        <v>13.531229</v>
      </c>
      <c r="G120">
        <v>0.052700490000000003</v>
      </c>
      <c r="H120">
        <v>1750</v>
      </c>
      <c r="N120" t="str">
        <f t="shared" si="88"/>
        <v/>
      </c>
      <c r="O120">
        <f t="shared" si="89"/>
        <v>13.531229</v>
      </c>
      <c r="U120">
        <v>115</v>
      </c>
      <c r="V120">
        <v>-130</v>
      </c>
    </row>
    <row r="121">
      <c r="A121" t="s">
        <v>1061</v>
      </c>
      <c r="B121">
        <v>120</v>
      </c>
      <c r="C121">
        <v>5.9093146810776601e-05</v>
      </c>
      <c r="D121">
        <v>0.29546573405388299</v>
      </c>
      <c r="E121">
        <v>2</v>
      </c>
      <c r="F121">
        <v>12.809843000000001</v>
      </c>
      <c r="G121">
        <v>0.042318590000000003</v>
      </c>
      <c r="H121">
        <v>1750</v>
      </c>
      <c r="N121" t="str">
        <f t="shared" si="88"/>
        <v/>
      </c>
      <c r="O121">
        <f t="shared" si="89"/>
        <v>12.809843000000001</v>
      </c>
      <c r="U121">
        <v>115</v>
      </c>
      <c r="V121">
        <v>-130</v>
      </c>
    </row>
    <row r="122">
      <c r="A122" t="s">
        <v>1062</v>
      </c>
      <c r="B122">
        <v>121</v>
      </c>
      <c r="C122">
        <v>6.7675697262754497e-05</v>
      </c>
      <c r="D122">
        <v>0.33837848631377249</v>
      </c>
      <c r="E122">
        <v>2</v>
      </c>
      <c r="F122">
        <v>13.073081999999999</v>
      </c>
      <c r="G122">
        <v>0.047002219999999997</v>
      </c>
      <c r="H122">
        <v>1750</v>
      </c>
      <c r="N122" t="str">
        <f t="shared" si="88"/>
        <v/>
      </c>
      <c r="O122">
        <f t="shared" si="89"/>
        <v>13.073081999999999</v>
      </c>
      <c r="U122">
        <v>115</v>
      </c>
      <c r="V122">
        <v>-130</v>
      </c>
    </row>
    <row r="123">
      <c r="A123" t="s">
        <v>1063</v>
      </c>
      <c r="B123">
        <v>122</v>
      </c>
      <c r="C123">
        <v>8.6023252670426194e-05</v>
      </c>
      <c r="D123">
        <v>0.43011626335213093</v>
      </c>
      <c r="E123">
        <v>2</v>
      </c>
      <c r="F123">
        <v>13.267367</v>
      </c>
      <c r="G123">
        <v>0.045575789999999998</v>
      </c>
      <c r="H123">
        <v>1750</v>
      </c>
      <c r="U123">
        <v>115</v>
      </c>
      <c r="V123">
        <v>-130</v>
      </c>
    </row>
    <row r="124">
      <c r="A124" t="s">
        <v>1064</v>
      </c>
      <c r="B124">
        <v>123</v>
      </c>
      <c r="C124">
        <v>8.0894993664626697e-05</v>
      </c>
      <c r="D124">
        <v>0.40447496832313345</v>
      </c>
      <c r="E124">
        <v>2</v>
      </c>
      <c r="F124">
        <v>13.67385</v>
      </c>
      <c r="G124">
        <v>0.036260639999999997</v>
      </c>
      <c r="H124">
        <v>1750</v>
      </c>
      <c r="U124">
        <v>115</v>
      </c>
      <c r="V124">
        <v>-130</v>
      </c>
    </row>
    <row r="125">
      <c r="A125" t="s">
        <v>1065</v>
      </c>
      <c r="B125">
        <v>124</v>
      </c>
      <c r="C125">
        <v>0.000176729235765982</v>
      </c>
      <c r="D125">
        <v>0.88364617882990992</v>
      </c>
      <c r="E125">
        <v>2</v>
      </c>
      <c r="F125">
        <v>22.317522</v>
      </c>
      <c r="G125">
        <v>0.05962899</v>
      </c>
      <c r="H125">
        <v>1750</v>
      </c>
      <c r="U125">
        <v>115</v>
      </c>
      <c r="V125">
        <v>-130</v>
      </c>
    </row>
    <row r="126">
      <c r="A126" t="s">
        <v>1066</v>
      </c>
      <c r="B126">
        <v>125</v>
      </c>
      <c r="C126">
        <v>0.000126911273815449</v>
      </c>
      <c r="D126">
        <v>0.634556369077245</v>
      </c>
      <c r="E126">
        <v>2</v>
      </c>
      <c r="F126">
        <v>16.842281</v>
      </c>
      <c r="G126">
        <v>0.049295430000000001</v>
      </c>
      <c r="H126">
        <v>1750</v>
      </c>
      <c r="U126">
        <v>115</v>
      </c>
      <c r="V126">
        <v>-130</v>
      </c>
    </row>
    <row r="127">
      <c r="A127" t="s">
        <v>1067</v>
      </c>
      <c r="B127">
        <v>126</v>
      </c>
      <c r="C127">
        <v>0</v>
      </c>
      <c r="D127">
        <v>0</v>
      </c>
      <c r="E127">
        <v>1</v>
      </c>
      <c r="F127">
        <v>11.871490999999999</v>
      </c>
      <c r="G127">
        <v>0.037428019999999999</v>
      </c>
      <c r="H127">
        <v>1750</v>
      </c>
      <c r="U127">
        <v>115</v>
      </c>
      <c r="V127">
        <v>-130</v>
      </c>
    </row>
  </sheetData>
  <conditionalFormatting sqref="F:F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:id="rId1" ref="A112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007600C5-008F-4132-85E1-004900190001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D2:D127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33" activeCellId="0" sqref="I33"/>
    </sheetView>
  </sheetViews>
  <sheetFormatPr baseColWidth="10" defaultRowHeight="15"/>
  <cols>
    <col customWidth="1" min="1" max="1" width="15.42578125"/>
    <col bestFit="1" customWidth="1" min="3" max="3" width="12"/>
  </cols>
  <sheetData>
    <row r="1">
      <c r="A1" t="s">
        <v>1068</v>
      </c>
      <c r="B1" t="s">
        <v>1069</v>
      </c>
      <c r="C1" t="s">
        <v>295</v>
      </c>
      <c r="D1" t="s">
        <v>296</v>
      </c>
      <c r="E1" t="s">
        <v>297</v>
      </c>
      <c r="F1" t="s">
        <v>298</v>
      </c>
      <c r="G1" t="s">
        <v>306</v>
      </c>
      <c r="H1" t="s">
        <v>300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310</v>
      </c>
      <c r="V1" t="s">
        <v>300</v>
      </c>
    </row>
    <row r="2">
      <c r="A2" s="3" t="s">
        <v>1070</v>
      </c>
      <c r="B2">
        <v>1</v>
      </c>
      <c r="E2">
        <v>1</v>
      </c>
      <c r="F2">
        <v>10.182219103193278</v>
      </c>
      <c r="G2">
        <v>0.14356462361096495</v>
      </c>
      <c r="H2" s="141">
        <v>1800</v>
      </c>
      <c r="I2">
        <v>7</v>
      </c>
      <c r="J2">
        <v>7</v>
      </c>
      <c r="N2">
        <f t="shared" ref="N2:N65" si="90">IF(E2=1,F2,"")</f>
        <v>10.182219103193278</v>
      </c>
      <c r="O2" t="str">
        <f t="shared" ref="O2:O65" si="91">IF(E2=2,F2,"")</f>
        <v/>
      </c>
      <c r="P2">
        <f>AVERAGE(G11,G13,G17)</f>
        <v>0.15562511828112138</v>
      </c>
      <c r="Q2">
        <f>MIN(N2:N200)</f>
        <v>1.1543760638655467</v>
      </c>
      <c r="R2">
        <f>AVERAGE(N2:N200)</f>
        <v>10.774826369459783</v>
      </c>
      <c r="S2">
        <f>MAX(N2:N200)</f>
        <v>16.494935346554623</v>
      </c>
      <c r="T2">
        <f>COUNT(N2:N124)</f>
        <v>84</v>
      </c>
      <c r="U2">
        <v>130</v>
      </c>
      <c r="V2">
        <v>1360</v>
      </c>
    </row>
    <row r="3">
      <c r="A3" s="3" t="s">
        <v>1071</v>
      </c>
      <c r="B3">
        <v>2</v>
      </c>
      <c r="E3">
        <v>1</v>
      </c>
      <c r="F3">
        <v>10.217083197983193</v>
      </c>
      <c r="G3">
        <v>0.14088484588771225</v>
      </c>
      <c r="H3" s="141">
        <v>1800</v>
      </c>
      <c r="I3">
        <v>9</v>
      </c>
      <c r="J3">
        <v>9</v>
      </c>
      <c r="N3">
        <f t="shared" si="90"/>
        <v>10.217083197983193</v>
      </c>
      <c r="O3" t="str">
        <f t="shared" si="91"/>
        <v/>
      </c>
      <c r="U3">
        <v>130</v>
      </c>
      <c r="V3">
        <v>1360</v>
      </c>
    </row>
    <row r="4">
      <c r="A4" s="3" t="s">
        <v>1072</v>
      </c>
      <c r="B4">
        <v>3</v>
      </c>
      <c r="E4">
        <v>1</v>
      </c>
      <c r="F4">
        <v>10.60156926117647</v>
      </c>
      <c r="G4">
        <v>0.12587638052200115</v>
      </c>
      <c r="H4" s="141">
        <v>1800</v>
      </c>
      <c r="I4">
        <v>10</v>
      </c>
      <c r="J4">
        <v>10</v>
      </c>
      <c r="N4">
        <f t="shared" si="90"/>
        <v>10.60156926117647</v>
      </c>
      <c r="O4" t="str">
        <f t="shared" si="91"/>
        <v/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130</v>
      </c>
      <c r="V4">
        <v>1360</v>
      </c>
    </row>
    <row r="5">
      <c r="A5" s="3" t="s">
        <v>1073</v>
      </c>
      <c r="B5">
        <v>4</v>
      </c>
      <c r="E5">
        <v>1</v>
      </c>
      <c r="F5">
        <v>10.659053668235295</v>
      </c>
      <c r="G5">
        <v>0.15500035836543224</v>
      </c>
      <c r="H5" s="141">
        <v>1800</v>
      </c>
      <c r="I5">
        <v>18</v>
      </c>
      <c r="J5">
        <v>25</v>
      </c>
      <c r="L5">
        <f>F23-F26</f>
        <v>7.0738251226890778</v>
      </c>
      <c r="N5">
        <f t="shared" si="90"/>
        <v>10.659053668235295</v>
      </c>
      <c r="O5" t="str">
        <f t="shared" si="91"/>
        <v/>
      </c>
      <c r="P5">
        <f>AVERAGE(G2:G10,G12,G14:G16,G18:G22)</f>
        <v>0.14393408951554645</v>
      </c>
      <c r="Q5">
        <f>MIN(O2:O200)</f>
        <v>14.564221557983192</v>
      </c>
      <c r="R5">
        <f>AVERAGE(O2:O200)</f>
        <v>18.096849337500675</v>
      </c>
      <c r="S5">
        <f>MAX(O2:O200)</f>
        <v>22.231282963697481</v>
      </c>
      <c r="T5">
        <f>COUNT(O2:O124)</f>
        <v>25</v>
      </c>
      <c r="U5">
        <v>130</v>
      </c>
      <c r="V5">
        <v>1360</v>
      </c>
    </row>
    <row r="6">
      <c r="A6" s="3" t="s">
        <v>1074</v>
      </c>
      <c r="B6">
        <v>5</v>
      </c>
      <c r="E6">
        <v>1</v>
      </c>
      <c r="F6">
        <v>10.296452075294118</v>
      </c>
      <c r="G6">
        <v>0.155808790762795</v>
      </c>
      <c r="H6" s="141">
        <v>1800</v>
      </c>
      <c r="I6">
        <v>46</v>
      </c>
      <c r="J6">
        <v>47</v>
      </c>
      <c r="L6">
        <f>F47-F48</f>
        <v>1.963594592941174</v>
      </c>
      <c r="N6">
        <f t="shared" si="90"/>
        <v>10.296452075294118</v>
      </c>
      <c r="O6" t="str">
        <f t="shared" si="91"/>
        <v/>
      </c>
      <c r="U6">
        <v>130</v>
      </c>
      <c r="V6">
        <v>1360</v>
      </c>
    </row>
    <row r="7">
      <c r="A7" s="3" t="s">
        <v>1075</v>
      </c>
      <c r="B7">
        <v>6</v>
      </c>
      <c r="E7">
        <v>1</v>
      </c>
      <c r="F7">
        <v>10.092855482352942</v>
      </c>
      <c r="G7">
        <v>0.13413279001792078</v>
      </c>
      <c r="H7" s="141">
        <v>1800</v>
      </c>
      <c r="I7">
        <v>85</v>
      </c>
      <c r="J7">
        <v>85</v>
      </c>
      <c r="N7">
        <f t="shared" si="90"/>
        <v>10.092855482352942</v>
      </c>
      <c r="O7" t="str">
        <f t="shared" si="91"/>
        <v/>
      </c>
      <c r="U7">
        <v>130</v>
      </c>
      <c r="V7">
        <v>1360</v>
      </c>
    </row>
    <row r="8">
      <c r="A8" s="3" t="s">
        <v>1076</v>
      </c>
      <c r="B8">
        <v>7</v>
      </c>
      <c r="C8" s="4">
        <v>2.52698e-05</v>
      </c>
      <c r="D8" s="4">
        <f>C8/0.000044283265</f>
        <v>0.57063994716740063</v>
      </c>
      <c r="E8">
        <v>2</v>
      </c>
      <c r="F8">
        <v>21.949365889411766</v>
      </c>
      <c r="G8">
        <v>0.16946404165034074</v>
      </c>
      <c r="H8" s="141">
        <v>1800</v>
      </c>
      <c r="I8">
        <v>90</v>
      </c>
      <c r="J8">
        <v>91</v>
      </c>
      <c r="L8">
        <f>F92-F91</f>
        <v>0.20734540705882232</v>
      </c>
      <c r="N8" t="str">
        <f t="shared" si="90"/>
        <v/>
      </c>
      <c r="O8">
        <f t="shared" si="91"/>
        <v>21.949365889411766</v>
      </c>
      <c r="U8">
        <v>130</v>
      </c>
      <c r="V8">
        <v>1360</v>
      </c>
    </row>
    <row r="9">
      <c r="A9" s="3" t="s">
        <v>1077</v>
      </c>
      <c r="B9">
        <v>8</v>
      </c>
      <c r="E9">
        <v>1</v>
      </c>
      <c r="F9">
        <v>14.111525952605042</v>
      </c>
      <c r="G9">
        <v>0.14788442690884673</v>
      </c>
      <c r="H9" s="141">
        <v>1800</v>
      </c>
      <c r="I9">
        <v>95</v>
      </c>
      <c r="J9">
        <v>97</v>
      </c>
      <c r="L9">
        <f>F98-F96</f>
        <v>5.6178828141176425</v>
      </c>
      <c r="N9">
        <f t="shared" si="90"/>
        <v>14.111525952605042</v>
      </c>
      <c r="O9" t="str">
        <f t="shared" si="91"/>
        <v/>
      </c>
      <c r="U9">
        <v>130</v>
      </c>
      <c r="V9">
        <v>1360</v>
      </c>
    </row>
    <row r="10">
      <c r="A10" s="3" t="s">
        <v>1078</v>
      </c>
      <c r="B10">
        <v>9</v>
      </c>
      <c r="C10" s="4">
        <v>2.8645000000000001e-05</v>
      </c>
      <c r="D10" s="4">
        <f>0.000028645/0.000035</f>
        <v>0.81842857142857151</v>
      </c>
      <c r="E10">
        <v>2</v>
      </c>
      <c r="F10">
        <v>18.951953359663865</v>
      </c>
      <c r="G10">
        <v>0.1518260037176703</v>
      </c>
      <c r="H10" s="141">
        <v>1800</v>
      </c>
      <c r="I10">
        <v>106</v>
      </c>
      <c r="J10">
        <v>111</v>
      </c>
      <c r="L10">
        <f>F111-F108</f>
        <v>5.3735198773109243</v>
      </c>
      <c r="N10" t="str">
        <f t="shared" si="90"/>
        <v/>
      </c>
      <c r="O10">
        <f t="shared" si="91"/>
        <v>18.951953359663865</v>
      </c>
      <c r="U10">
        <v>130</v>
      </c>
      <c r="V10">
        <v>1360</v>
      </c>
    </row>
    <row r="11">
      <c r="A11" s="3" t="s">
        <v>1079</v>
      </c>
      <c r="B11">
        <v>10</v>
      </c>
      <c r="C11" s="4">
        <v>2.1662e-05</v>
      </c>
      <c r="D11" s="4">
        <f>C11/0.000035</f>
        <v>0.61891428571428575</v>
      </c>
      <c r="E11">
        <v>2</v>
      </c>
      <c r="F11">
        <v>19.91369976672269</v>
      </c>
      <c r="G11">
        <v>0.14374173840270482</v>
      </c>
      <c r="H11" s="141">
        <v>1800</v>
      </c>
      <c r="I11">
        <v>124</v>
      </c>
      <c r="J11">
        <v>125</v>
      </c>
      <c r="L11">
        <f>F126-F125</f>
        <v>1.6594920631932801</v>
      </c>
      <c r="N11" t="str">
        <f t="shared" si="90"/>
        <v/>
      </c>
      <c r="O11">
        <f t="shared" si="91"/>
        <v>19.91369976672269</v>
      </c>
      <c r="U11">
        <v>130</v>
      </c>
      <c r="V11">
        <v>1360</v>
      </c>
    </row>
    <row r="12">
      <c r="A12" s="3" t="s">
        <v>1080</v>
      </c>
      <c r="B12">
        <v>11</v>
      </c>
      <c r="E12">
        <v>1</v>
      </c>
      <c r="F12">
        <v>10.729620173781512</v>
      </c>
      <c r="G12">
        <v>0.16634392836478293</v>
      </c>
      <c r="H12" s="141">
        <v>1800</v>
      </c>
      <c r="I12">
        <v>141</v>
      </c>
      <c r="J12">
        <v>144</v>
      </c>
      <c r="L12">
        <f>F142-F143</f>
        <v>2.889437592941178</v>
      </c>
      <c r="N12">
        <f t="shared" si="90"/>
        <v>10.729620173781512</v>
      </c>
      <c r="O12" t="str">
        <f t="shared" si="91"/>
        <v/>
      </c>
      <c r="U12">
        <v>130</v>
      </c>
      <c r="V12">
        <v>1360</v>
      </c>
    </row>
    <row r="13">
      <c r="A13" s="3" t="s">
        <v>1081</v>
      </c>
      <c r="B13">
        <v>12</v>
      </c>
      <c r="E13">
        <v>1</v>
      </c>
      <c r="F13">
        <v>11.218173580840336</v>
      </c>
      <c r="G13">
        <v>0.14095571580195829</v>
      </c>
      <c r="H13" s="141">
        <v>1800</v>
      </c>
      <c r="I13">
        <v>150</v>
      </c>
      <c r="J13">
        <v>152</v>
      </c>
      <c r="L13">
        <f>F153-F151</f>
        <v>1.9831924702521029</v>
      </c>
      <c r="N13">
        <f t="shared" si="90"/>
        <v>11.218173580840336</v>
      </c>
      <c r="O13" t="str">
        <f t="shared" si="91"/>
        <v/>
      </c>
      <c r="U13">
        <v>130</v>
      </c>
      <c r="V13">
        <v>1360</v>
      </c>
    </row>
    <row r="14">
      <c r="A14" s="3" t="s">
        <v>1082</v>
      </c>
      <c r="B14">
        <v>13</v>
      </c>
      <c r="E14">
        <v>1</v>
      </c>
      <c r="F14">
        <v>11.102508644033612</v>
      </c>
      <c r="G14">
        <v>0.13720254964104139</v>
      </c>
      <c r="H14" s="141">
        <v>1800</v>
      </c>
      <c r="I14">
        <v>160</v>
      </c>
      <c r="J14">
        <v>163</v>
      </c>
      <c r="L14">
        <f>F163-F162</f>
        <v>0.73142806319327747</v>
      </c>
      <c r="N14">
        <f t="shared" si="90"/>
        <v>11.102508644033612</v>
      </c>
      <c r="O14" t="str">
        <f t="shared" si="91"/>
        <v/>
      </c>
      <c r="U14">
        <v>130</v>
      </c>
      <c r="V14">
        <v>1360</v>
      </c>
    </row>
    <row r="15">
      <c r="A15" s="3" t="s">
        <v>1083</v>
      </c>
      <c r="B15">
        <v>14</v>
      </c>
      <c r="E15">
        <v>1</v>
      </c>
      <c r="F15">
        <v>11.665787051092437</v>
      </c>
      <c r="G15">
        <v>0.1495429613277082</v>
      </c>
      <c r="H15" s="141">
        <v>1800</v>
      </c>
      <c r="I15">
        <v>166</v>
      </c>
      <c r="J15">
        <v>166</v>
      </c>
      <c r="N15">
        <f t="shared" si="90"/>
        <v>11.665787051092437</v>
      </c>
      <c r="O15" t="str">
        <f t="shared" si="91"/>
        <v/>
      </c>
      <c r="U15">
        <v>130</v>
      </c>
      <c r="V15">
        <v>1360</v>
      </c>
    </row>
    <row r="16">
      <c r="A16" s="3" t="s">
        <v>1084</v>
      </c>
      <c r="B16">
        <v>15</v>
      </c>
      <c r="E16">
        <v>1</v>
      </c>
      <c r="F16">
        <v>11.671828458151261</v>
      </c>
      <c r="G16">
        <v>0.13553959095149443</v>
      </c>
      <c r="H16" s="141">
        <v>1800</v>
      </c>
      <c r="N16">
        <f t="shared" si="90"/>
        <v>11.671828458151261</v>
      </c>
      <c r="O16" t="str">
        <f t="shared" si="91"/>
        <v/>
      </c>
      <c r="U16">
        <v>130</v>
      </c>
      <c r="V16">
        <v>1360</v>
      </c>
    </row>
    <row r="17">
      <c r="A17" s="3" t="s">
        <v>1085</v>
      </c>
      <c r="B17">
        <v>16</v>
      </c>
      <c r="E17">
        <v>1</v>
      </c>
      <c r="F17">
        <v>10.620290865210084</v>
      </c>
      <c r="G17">
        <v>0.18217790063870104</v>
      </c>
      <c r="H17" s="141">
        <v>1800</v>
      </c>
      <c r="N17">
        <f t="shared" si="90"/>
        <v>10.620290865210084</v>
      </c>
      <c r="O17" t="str">
        <f t="shared" si="91"/>
        <v/>
      </c>
      <c r="U17">
        <v>130</v>
      </c>
      <c r="V17">
        <v>1360</v>
      </c>
    </row>
    <row r="18">
      <c r="A18" s="3" t="s">
        <v>1086</v>
      </c>
      <c r="B18">
        <v>17</v>
      </c>
      <c r="E18">
        <v>1</v>
      </c>
      <c r="F18">
        <v>15.998682272268908</v>
      </c>
      <c r="G18">
        <v>0.12130784189975366</v>
      </c>
      <c r="H18" s="141">
        <v>1800</v>
      </c>
      <c r="N18">
        <f t="shared" si="90"/>
        <v>15.998682272268908</v>
      </c>
      <c r="O18" t="str">
        <f t="shared" si="91"/>
        <v/>
      </c>
      <c r="U18">
        <v>130</v>
      </c>
      <c r="V18">
        <v>1360</v>
      </c>
    </row>
    <row r="19">
      <c r="A19" s="3" t="s">
        <v>1087</v>
      </c>
      <c r="B19">
        <v>18</v>
      </c>
      <c r="C19" s="4">
        <v>8.5123499999999999e-05</v>
      </c>
      <c r="D19" s="4">
        <f t="shared" ref="D19:D26" si="92">C19/0.0001195</f>
        <v>0.71233054393305439</v>
      </c>
      <c r="E19">
        <v>2</v>
      </c>
      <c r="F19">
        <v>16.997672335462184</v>
      </c>
      <c r="G19">
        <v>0.13888830138434421</v>
      </c>
      <c r="H19" s="141">
        <v>1800</v>
      </c>
      <c r="N19" t="str">
        <f t="shared" si="90"/>
        <v/>
      </c>
      <c r="O19">
        <f t="shared" si="91"/>
        <v>16.997672335462184</v>
      </c>
      <c r="U19">
        <v>130</v>
      </c>
      <c r="V19">
        <v>1360</v>
      </c>
    </row>
    <row r="20">
      <c r="A20" s="3" t="s">
        <v>1088</v>
      </c>
      <c r="B20">
        <v>19</v>
      </c>
      <c r="C20" s="4">
        <f t="shared" ref="C20:C21" si="93">C19-0.0000203</f>
        <v>6.4823499999999994e-05</v>
      </c>
      <c r="D20" s="4">
        <f t="shared" si="92"/>
        <v>0.54245606694560666</v>
      </c>
      <c r="E20">
        <v>2</v>
      </c>
      <c r="F20">
        <v>21.894194742521009</v>
      </c>
      <c r="G20">
        <v>0.13708239934435651</v>
      </c>
      <c r="H20" s="141">
        <v>1800</v>
      </c>
      <c r="N20" t="str">
        <f t="shared" si="90"/>
        <v/>
      </c>
      <c r="O20">
        <f t="shared" si="91"/>
        <v>21.894194742521009</v>
      </c>
      <c r="U20">
        <v>130</v>
      </c>
      <c r="V20">
        <v>1360</v>
      </c>
    </row>
    <row r="21">
      <c r="A21" s="3" t="s">
        <v>1089</v>
      </c>
      <c r="B21">
        <v>20</v>
      </c>
      <c r="C21" s="4">
        <f t="shared" si="93"/>
        <v>4.4523499999999995e-05</v>
      </c>
      <c r="D21" s="4">
        <f t="shared" si="92"/>
        <v>0.37258158995815893</v>
      </c>
      <c r="E21">
        <v>2</v>
      </c>
      <c r="F21">
        <v>21.490629149579831</v>
      </c>
      <c r="G21">
        <v>0.12522756303762214</v>
      </c>
      <c r="H21" s="141">
        <v>1800</v>
      </c>
      <c r="N21" t="str">
        <f t="shared" si="90"/>
        <v/>
      </c>
      <c r="O21">
        <f t="shared" si="91"/>
        <v>21.490629149579831</v>
      </c>
      <c r="U21">
        <v>130</v>
      </c>
      <c r="V21">
        <v>1360</v>
      </c>
    </row>
    <row r="22">
      <c r="A22" s="3" t="s">
        <v>1090</v>
      </c>
      <c r="B22">
        <v>21</v>
      </c>
      <c r="C22" s="4">
        <v>7.1110000000000002e-05</v>
      </c>
      <c r="D22" s="4">
        <f t="shared" si="92"/>
        <v>0.59506276150627613</v>
      </c>
      <c r="E22">
        <v>2</v>
      </c>
      <c r="F22">
        <v>18.240171556638657</v>
      </c>
      <c r="G22">
        <v>0.15523621388504819</v>
      </c>
      <c r="H22" s="141">
        <v>1800</v>
      </c>
      <c r="N22" t="str">
        <f t="shared" si="90"/>
        <v/>
      </c>
      <c r="O22">
        <f t="shared" si="91"/>
        <v>18.240171556638657</v>
      </c>
      <c r="U22">
        <v>130</v>
      </c>
      <c r="V22">
        <v>1360</v>
      </c>
    </row>
    <row r="23">
      <c r="A23" s="3" t="s">
        <v>1091</v>
      </c>
      <c r="B23">
        <v>22</v>
      </c>
      <c r="C23" s="4">
        <v>2.3499999999999999e-05</v>
      </c>
      <c r="D23" s="4">
        <f t="shared" si="92"/>
        <v>0.19665271966527195</v>
      </c>
      <c r="E23">
        <v>2</v>
      </c>
      <c r="F23">
        <v>22.231282963697481</v>
      </c>
      <c r="G23">
        <v>0.13185132930553423</v>
      </c>
      <c r="H23" s="141">
        <v>1800</v>
      </c>
      <c r="N23" t="str">
        <f t="shared" si="90"/>
        <v/>
      </c>
      <c r="O23">
        <f t="shared" si="91"/>
        <v>22.231282963697481</v>
      </c>
      <c r="U23">
        <v>130</v>
      </c>
      <c r="V23">
        <v>1360</v>
      </c>
    </row>
    <row r="24">
      <c r="A24" s="3" t="s">
        <v>1092</v>
      </c>
      <c r="B24">
        <v>23</v>
      </c>
      <c r="C24" s="4">
        <f t="shared" ref="C24:C26" si="94">C23+0.000029264</f>
        <v>5.2763999999999998e-05</v>
      </c>
      <c r="D24" s="4">
        <f t="shared" si="92"/>
        <v>0.44153974895397485</v>
      </c>
      <c r="E24">
        <v>2</v>
      </c>
      <c r="F24">
        <v>21.464564370756303</v>
      </c>
      <c r="G24">
        <v>0.11853720121057536</v>
      </c>
      <c r="H24" s="141">
        <v>1800</v>
      </c>
      <c r="N24" t="str">
        <f t="shared" si="90"/>
        <v/>
      </c>
      <c r="O24">
        <f t="shared" si="91"/>
        <v>21.464564370756303</v>
      </c>
      <c r="U24">
        <v>130</v>
      </c>
      <c r="V24">
        <v>1360</v>
      </c>
    </row>
    <row r="25">
      <c r="A25" s="3" t="s">
        <v>1093</v>
      </c>
      <c r="B25">
        <v>24</v>
      </c>
      <c r="C25" s="4">
        <f t="shared" si="94"/>
        <v>8.2027999999999995e-05</v>
      </c>
      <c r="D25" s="4">
        <f t="shared" si="92"/>
        <v>0.68642677824267773</v>
      </c>
      <c r="E25">
        <v>2</v>
      </c>
      <c r="F25">
        <v>17.371777433949582</v>
      </c>
      <c r="G25">
        <v>0.15085209501634517</v>
      </c>
      <c r="H25" s="141">
        <v>1800</v>
      </c>
      <c r="N25" t="str">
        <f t="shared" si="90"/>
        <v/>
      </c>
      <c r="O25">
        <f t="shared" si="91"/>
        <v>17.371777433949582</v>
      </c>
      <c r="U25">
        <v>130</v>
      </c>
      <c r="V25">
        <v>1360</v>
      </c>
    </row>
    <row r="26">
      <c r="A26" s="3" t="s">
        <v>1094</v>
      </c>
      <c r="B26">
        <v>25</v>
      </c>
      <c r="C26" s="4">
        <f t="shared" si="94"/>
        <v>0.00011129199999999999</v>
      </c>
      <c r="D26" s="4">
        <f t="shared" si="92"/>
        <v>0.9313138075313806</v>
      </c>
      <c r="E26">
        <v>2</v>
      </c>
      <c r="F26">
        <v>15.157457841008403</v>
      </c>
      <c r="G26">
        <v>0.16915975369383235</v>
      </c>
      <c r="H26" s="141">
        <v>1800</v>
      </c>
      <c r="N26" t="str">
        <f t="shared" si="90"/>
        <v/>
      </c>
      <c r="O26">
        <f t="shared" si="91"/>
        <v>15.157457841008403</v>
      </c>
      <c r="U26">
        <v>130</v>
      </c>
      <c r="V26">
        <v>1360</v>
      </c>
    </row>
    <row r="27">
      <c r="A27" s="3" t="s">
        <v>1095</v>
      </c>
      <c r="B27">
        <v>26</v>
      </c>
      <c r="E27">
        <v>1</v>
      </c>
      <c r="F27">
        <v>9.8508102480672264</v>
      </c>
      <c r="G27">
        <v>0.1502265213610354</v>
      </c>
      <c r="H27" s="141">
        <v>1800</v>
      </c>
      <c r="N27">
        <f t="shared" si="90"/>
        <v>9.8508102480672264</v>
      </c>
      <c r="O27" t="str">
        <f t="shared" si="91"/>
        <v/>
      </c>
      <c r="U27">
        <v>130</v>
      </c>
      <c r="V27">
        <v>1360</v>
      </c>
    </row>
    <row r="28">
      <c r="A28" s="3" t="s">
        <v>1096</v>
      </c>
      <c r="B28">
        <v>27</v>
      </c>
      <c r="E28">
        <v>1</v>
      </c>
      <c r="F28">
        <v>13.19651965512605</v>
      </c>
      <c r="G28">
        <v>0.11464725795038289</v>
      </c>
      <c r="H28" s="141">
        <v>1800</v>
      </c>
      <c r="N28">
        <f t="shared" si="90"/>
        <v>13.19651965512605</v>
      </c>
      <c r="O28" t="str">
        <f t="shared" si="91"/>
        <v/>
      </c>
      <c r="U28">
        <v>130</v>
      </c>
      <c r="V28">
        <v>1360</v>
      </c>
    </row>
    <row r="29">
      <c r="A29" s="3" t="s">
        <v>1097</v>
      </c>
      <c r="B29">
        <v>28</v>
      </c>
      <c r="E29">
        <v>1</v>
      </c>
      <c r="F29">
        <v>13.523470718319327</v>
      </c>
      <c r="G29">
        <v>0.12466839995073503</v>
      </c>
      <c r="H29" s="141">
        <v>1800</v>
      </c>
      <c r="N29">
        <f t="shared" si="90"/>
        <v>13.523470718319327</v>
      </c>
      <c r="O29" t="str">
        <f t="shared" si="91"/>
        <v/>
      </c>
      <c r="U29">
        <v>130</v>
      </c>
      <c r="V29">
        <v>1360</v>
      </c>
    </row>
    <row r="30">
      <c r="A30" s="3" t="s">
        <v>1098</v>
      </c>
      <c r="B30">
        <v>29</v>
      </c>
      <c r="E30">
        <v>1</v>
      </c>
      <c r="F30">
        <v>15.795469125378151</v>
      </c>
      <c r="G30">
        <v>0.12123438999558842</v>
      </c>
      <c r="H30" s="141">
        <v>1800</v>
      </c>
      <c r="N30">
        <f t="shared" si="90"/>
        <v>15.795469125378151</v>
      </c>
      <c r="O30" t="str">
        <f t="shared" si="91"/>
        <v/>
      </c>
      <c r="U30">
        <v>130</v>
      </c>
      <c r="V30">
        <v>1360</v>
      </c>
    </row>
    <row r="31">
      <c r="A31" s="3" t="s">
        <v>1099</v>
      </c>
      <c r="B31">
        <v>30</v>
      </c>
      <c r="E31">
        <v>1</v>
      </c>
      <c r="F31">
        <v>14.859953532436975</v>
      </c>
      <c r="G31">
        <v>0.12989760551090396</v>
      </c>
      <c r="H31" s="141">
        <v>1800</v>
      </c>
      <c r="N31">
        <f t="shared" si="90"/>
        <v>14.859953532436975</v>
      </c>
      <c r="O31" t="str">
        <f t="shared" si="91"/>
        <v/>
      </c>
      <c r="U31">
        <v>130</v>
      </c>
      <c r="V31">
        <v>1360</v>
      </c>
    </row>
    <row r="32">
      <c r="A32" s="3" t="s">
        <v>1100</v>
      </c>
      <c r="B32">
        <v>31</v>
      </c>
      <c r="E32">
        <v>1</v>
      </c>
      <c r="F32">
        <v>16.115909939495797</v>
      </c>
      <c r="G32">
        <v>0.13877746766340718</v>
      </c>
      <c r="H32" s="141">
        <v>1800</v>
      </c>
      <c r="N32">
        <f t="shared" si="90"/>
        <v>16.115909939495797</v>
      </c>
      <c r="O32" t="str">
        <f t="shared" si="91"/>
        <v/>
      </c>
      <c r="U32">
        <v>130</v>
      </c>
      <c r="V32">
        <v>1360</v>
      </c>
    </row>
    <row r="33">
      <c r="A33" s="3" t="s">
        <v>1101</v>
      </c>
      <c r="B33">
        <v>32</v>
      </c>
      <c r="E33">
        <v>1</v>
      </c>
      <c r="F33">
        <v>16.494935346554623</v>
      </c>
      <c r="G33">
        <v>0.12845130993880299</v>
      </c>
      <c r="H33" s="141">
        <v>1800</v>
      </c>
      <c r="N33">
        <f t="shared" si="90"/>
        <v>16.494935346554623</v>
      </c>
      <c r="O33" t="str">
        <f t="shared" si="91"/>
        <v/>
      </c>
      <c r="U33">
        <v>130</v>
      </c>
      <c r="V33">
        <v>1360</v>
      </c>
    </row>
    <row r="34">
      <c r="A34" s="3" t="s">
        <v>1102</v>
      </c>
      <c r="B34">
        <v>33</v>
      </c>
      <c r="E34">
        <v>1</v>
      </c>
      <c r="F34">
        <v>15.003107753613445</v>
      </c>
      <c r="G34">
        <v>0.16889954464476103</v>
      </c>
      <c r="H34" s="141">
        <v>1800</v>
      </c>
      <c r="N34">
        <f t="shared" si="90"/>
        <v>15.003107753613445</v>
      </c>
      <c r="O34" t="str">
        <f t="shared" si="91"/>
        <v/>
      </c>
      <c r="U34">
        <v>130</v>
      </c>
      <c r="V34">
        <v>1360</v>
      </c>
    </row>
    <row r="35">
      <c r="A35" s="3" t="s">
        <v>1103</v>
      </c>
      <c r="B35">
        <v>34</v>
      </c>
      <c r="E35">
        <v>1</v>
      </c>
      <c r="F35">
        <v>13.443860816806723</v>
      </c>
      <c r="G35">
        <v>0.13446540821241881</v>
      </c>
      <c r="H35" s="141">
        <v>1800</v>
      </c>
      <c r="N35">
        <f t="shared" si="90"/>
        <v>13.443860816806723</v>
      </c>
      <c r="O35" t="str">
        <f t="shared" si="91"/>
        <v/>
      </c>
      <c r="U35">
        <v>130</v>
      </c>
      <c r="V35">
        <v>1360</v>
      </c>
    </row>
    <row r="36">
      <c r="A36" s="3" t="s">
        <v>1104</v>
      </c>
      <c r="B36">
        <v>35</v>
      </c>
      <c r="E36">
        <v>1</v>
      </c>
      <c r="F36">
        <v>15.739692223865546</v>
      </c>
      <c r="G36">
        <v>0.15491891170001815</v>
      </c>
      <c r="H36" s="141">
        <v>1800</v>
      </c>
      <c r="N36">
        <f t="shared" si="90"/>
        <v>15.739692223865546</v>
      </c>
      <c r="O36" t="str">
        <f t="shared" si="91"/>
        <v/>
      </c>
      <c r="U36">
        <v>130</v>
      </c>
      <c r="V36">
        <v>1360</v>
      </c>
    </row>
    <row r="37">
      <c r="A37" s="3" t="s">
        <v>1105</v>
      </c>
      <c r="B37">
        <v>36</v>
      </c>
      <c r="E37">
        <v>1</v>
      </c>
      <c r="F37">
        <v>13.87143163092437</v>
      </c>
      <c r="G37">
        <v>0.12679502369501111</v>
      </c>
      <c r="H37" s="141">
        <v>1800</v>
      </c>
      <c r="N37">
        <f t="shared" si="90"/>
        <v>13.87143163092437</v>
      </c>
      <c r="O37" t="str">
        <f t="shared" si="91"/>
        <v/>
      </c>
      <c r="U37">
        <v>130</v>
      </c>
      <c r="V37">
        <v>1360</v>
      </c>
    </row>
    <row r="38">
      <c r="A38" s="3" t="s">
        <v>1106</v>
      </c>
      <c r="B38">
        <v>37</v>
      </c>
      <c r="E38">
        <v>1</v>
      </c>
      <c r="F38">
        <v>9.8292980379831931</v>
      </c>
      <c r="G38">
        <v>0.14450234433930972</v>
      </c>
      <c r="H38" s="141">
        <v>1800</v>
      </c>
      <c r="N38">
        <f t="shared" si="90"/>
        <v>9.8292980379831931</v>
      </c>
      <c r="O38" t="str">
        <f t="shared" si="91"/>
        <v/>
      </c>
      <c r="U38">
        <v>130</v>
      </c>
      <c r="V38">
        <v>1360</v>
      </c>
    </row>
    <row r="39">
      <c r="A39" s="3" t="s">
        <v>1107</v>
      </c>
      <c r="B39">
        <v>38</v>
      </c>
      <c r="E39">
        <v>1</v>
      </c>
      <c r="F39">
        <v>14.330170445042016</v>
      </c>
      <c r="G39">
        <v>0.14707939938495002</v>
      </c>
      <c r="H39" s="141">
        <v>1800</v>
      </c>
      <c r="N39">
        <f t="shared" si="90"/>
        <v>14.330170445042016</v>
      </c>
      <c r="O39" t="str">
        <f t="shared" si="91"/>
        <v/>
      </c>
      <c r="U39">
        <v>130</v>
      </c>
      <c r="V39">
        <v>1360</v>
      </c>
    </row>
    <row r="40">
      <c r="A40" s="3" t="s">
        <v>1108</v>
      </c>
      <c r="B40">
        <v>39</v>
      </c>
      <c r="E40">
        <v>1</v>
      </c>
      <c r="F40">
        <v>15.907825508235295</v>
      </c>
      <c r="G40">
        <v>0.19160512346158082</v>
      </c>
      <c r="H40" s="141">
        <v>1800</v>
      </c>
      <c r="N40">
        <f t="shared" si="90"/>
        <v>15.907825508235295</v>
      </c>
      <c r="O40" t="str">
        <f t="shared" si="91"/>
        <v/>
      </c>
      <c r="U40">
        <v>130</v>
      </c>
      <c r="V40">
        <v>1360</v>
      </c>
    </row>
    <row r="41">
      <c r="A41" s="3" t="s">
        <v>1109</v>
      </c>
      <c r="B41">
        <v>40</v>
      </c>
      <c r="E41">
        <v>1</v>
      </c>
      <c r="F41">
        <v>12.713507915294118</v>
      </c>
      <c r="G41">
        <v>0.16769297731307184</v>
      </c>
      <c r="H41" s="141">
        <v>1800</v>
      </c>
      <c r="N41">
        <f t="shared" si="90"/>
        <v>12.713507915294118</v>
      </c>
      <c r="O41" t="str">
        <f t="shared" si="91"/>
        <v/>
      </c>
      <c r="U41">
        <v>130</v>
      </c>
      <c r="V41">
        <v>1360</v>
      </c>
    </row>
    <row r="42">
      <c r="A42" s="3" t="s">
        <v>1110</v>
      </c>
      <c r="B42">
        <v>41</v>
      </c>
      <c r="E42">
        <v>1</v>
      </c>
      <c r="F42">
        <v>11.628313322352941</v>
      </c>
      <c r="G42">
        <v>0.1429737751752902</v>
      </c>
      <c r="H42" s="141">
        <v>1800</v>
      </c>
      <c r="N42">
        <f t="shared" si="90"/>
        <v>11.628313322352941</v>
      </c>
      <c r="O42" t="str">
        <f t="shared" si="91"/>
        <v/>
      </c>
      <c r="U42">
        <v>130</v>
      </c>
      <c r="V42">
        <v>1360</v>
      </c>
    </row>
    <row r="43">
      <c r="A43" s="3" t="s">
        <v>1111</v>
      </c>
      <c r="B43">
        <v>42</v>
      </c>
      <c r="E43">
        <v>1</v>
      </c>
      <c r="F43">
        <v>12.084631729411765</v>
      </c>
      <c r="G43">
        <v>0.11900997044352052</v>
      </c>
      <c r="H43" s="141">
        <v>1800</v>
      </c>
      <c r="N43">
        <f t="shared" si="90"/>
        <v>12.084631729411765</v>
      </c>
      <c r="O43" t="str">
        <f t="shared" si="91"/>
        <v/>
      </c>
      <c r="U43">
        <v>130</v>
      </c>
      <c r="V43">
        <v>1360</v>
      </c>
    </row>
    <row r="44">
      <c r="A44" s="3" t="s">
        <v>1112</v>
      </c>
      <c r="B44">
        <v>43</v>
      </c>
      <c r="E44">
        <v>1</v>
      </c>
      <c r="F44">
        <v>11.70141813647059</v>
      </c>
      <c r="G44">
        <v>0.13399027800313734</v>
      </c>
      <c r="H44" s="141">
        <v>1800</v>
      </c>
      <c r="N44">
        <f t="shared" si="90"/>
        <v>11.70141813647059</v>
      </c>
      <c r="O44" t="str">
        <f t="shared" si="91"/>
        <v/>
      </c>
      <c r="U44">
        <v>130</v>
      </c>
      <c r="V44">
        <v>1360</v>
      </c>
    </row>
    <row r="45">
      <c r="A45" s="3" t="s">
        <v>1113</v>
      </c>
      <c r="B45">
        <v>44</v>
      </c>
      <c r="E45">
        <v>1</v>
      </c>
      <c r="F45">
        <v>10.466009199663866</v>
      </c>
      <c r="G45">
        <v>0.15347543566936578</v>
      </c>
      <c r="H45" s="141">
        <v>1800</v>
      </c>
      <c r="N45">
        <f t="shared" si="90"/>
        <v>10.466009199663866</v>
      </c>
      <c r="O45" t="str">
        <f t="shared" si="91"/>
        <v/>
      </c>
      <c r="U45">
        <v>130</v>
      </c>
      <c r="V45">
        <v>1360</v>
      </c>
    </row>
    <row r="46">
      <c r="A46" s="3" t="s">
        <v>1114</v>
      </c>
      <c r="B46">
        <v>45</v>
      </c>
      <c r="E46">
        <v>1</v>
      </c>
      <c r="F46">
        <v>12.003554606722687</v>
      </c>
      <c r="G46">
        <v>0.15332036207801111</v>
      </c>
      <c r="H46" s="141">
        <v>1800</v>
      </c>
      <c r="N46">
        <f t="shared" si="90"/>
        <v>12.003554606722687</v>
      </c>
      <c r="O46" t="str">
        <f t="shared" si="91"/>
        <v/>
      </c>
      <c r="U46">
        <v>130</v>
      </c>
      <c r="V46">
        <v>1360</v>
      </c>
    </row>
    <row r="47">
      <c r="A47" s="3" t="s">
        <v>1115</v>
      </c>
      <c r="B47">
        <v>46</v>
      </c>
      <c r="C47" s="4">
        <v>2.5398e-05</v>
      </c>
      <c r="D47" s="4">
        <f t="shared" ref="D47:D48" si="95">C47/0.00005032</f>
        <v>0.50472972972972974</v>
      </c>
      <c r="E47">
        <v>2</v>
      </c>
      <c r="F47">
        <v>18.40563601378151</v>
      </c>
      <c r="G47">
        <v>0.15285520681490714</v>
      </c>
      <c r="H47" s="141">
        <v>1800</v>
      </c>
      <c r="N47" t="str">
        <f t="shared" si="90"/>
        <v/>
      </c>
      <c r="O47">
        <f t="shared" si="91"/>
        <v>18.40563601378151</v>
      </c>
      <c r="U47">
        <v>130</v>
      </c>
      <c r="V47">
        <v>1360</v>
      </c>
    </row>
    <row r="48">
      <c r="A48" s="3" t="s">
        <v>1116</v>
      </c>
      <c r="B48">
        <v>47</v>
      </c>
      <c r="C48" s="4">
        <f>C47+0.00001625</f>
        <v>4.1647999999999998e-05</v>
      </c>
      <c r="D48" s="4">
        <f t="shared" si="95"/>
        <v>0.82766295707472171</v>
      </c>
      <c r="E48">
        <v>2</v>
      </c>
      <c r="F48">
        <v>16.442041420840336</v>
      </c>
      <c r="G48">
        <v>0.16646708760451007</v>
      </c>
      <c r="H48" s="141">
        <v>1800</v>
      </c>
      <c r="N48" t="str">
        <f t="shared" si="90"/>
        <v/>
      </c>
      <c r="O48">
        <f t="shared" si="91"/>
        <v>16.442041420840336</v>
      </c>
      <c r="U48">
        <v>130</v>
      </c>
      <c r="V48">
        <v>1360</v>
      </c>
    </row>
    <row r="49">
      <c r="A49" s="3" t="s">
        <v>1117</v>
      </c>
      <c r="B49">
        <v>48</v>
      </c>
      <c r="E49">
        <v>1</v>
      </c>
      <c r="F49">
        <v>14.78787682789916</v>
      </c>
      <c r="G49">
        <v>0.14206225437052036</v>
      </c>
      <c r="H49" s="141">
        <v>1800</v>
      </c>
      <c r="N49">
        <f t="shared" si="90"/>
        <v>14.78787682789916</v>
      </c>
      <c r="O49" t="str">
        <f t="shared" si="91"/>
        <v/>
      </c>
      <c r="U49">
        <v>130</v>
      </c>
      <c r="V49">
        <v>1360</v>
      </c>
    </row>
    <row r="50">
      <c r="A50" s="3" t="s">
        <v>1118</v>
      </c>
      <c r="B50">
        <v>49</v>
      </c>
      <c r="E50">
        <v>1</v>
      </c>
      <c r="F50">
        <v>16.414784891092438</v>
      </c>
      <c r="G50">
        <v>0.10795562695643257</v>
      </c>
      <c r="H50" s="141">
        <v>1800</v>
      </c>
      <c r="N50">
        <f t="shared" si="90"/>
        <v>16.414784891092438</v>
      </c>
      <c r="O50" t="str">
        <f t="shared" si="91"/>
        <v/>
      </c>
      <c r="U50">
        <v>130</v>
      </c>
      <c r="V50">
        <v>1360</v>
      </c>
    </row>
    <row r="51">
      <c r="A51" s="3" t="s">
        <v>1119</v>
      </c>
      <c r="B51">
        <v>50</v>
      </c>
      <c r="E51">
        <v>1</v>
      </c>
      <c r="F51">
        <v>11.323386298151259</v>
      </c>
      <c r="G51">
        <v>0.35653193515598014</v>
      </c>
      <c r="H51" s="141">
        <v>1800</v>
      </c>
      <c r="N51">
        <f t="shared" si="90"/>
        <v>11.323386298151259</v>
      </c>
      <c r="O51" t="str">
        <f t="shared" si="91"/>
        <v/>
      </c>
      <c r="U51">
        <v>130</v>
      </c>
      <c r="V51">
        <v>1360</v>
      </c>
    </row>
    <row r="52">
      <c r="A52" s="3" t="s">
        <v>1120</v>
      </c>
      <c r="B52">
        <v>51</v>
      </c>
      <c r="E52">
        <v>1</v>
      </c>
      <c r="F52">
        <v>13.368169705210084</v>
      </c>
      <c r="G52">
        <v>0.22643385009770078</v>
      </c>
      <c r="H52" s="141">
        <v>1800</v>
      </c>
      <c r="N52">
        <f t="shared" si="90"/>
        <v>13.368169705210084</v>
      </c>
      <c r="O52" t="str">
        <f t="shared" si="91"/>
        <v/>
      </c>
      <c r="U52">
        <v>130</v>
      </c>
      <c r="V52">
        <v>1360</v>
      </c>
    </row>
    <row r="53">
      <c r="A53" s="3" t="s">
        <v>1121</v>
      </c>
      <c r="B53">
        <v>52</v>
      </c>
      <c r="E53">
        <v>1</v>
      </c>
      <c r="F53">
        <v>6.4322721122689073</v>
      </c>
      <c r="G53">
        <v>0.15206686806557052</v>
      </c>
      <c r="H53" s="141">
        <v>1800</v>
      </c>
      <c r="N53">
        <f t="shared" si="90"/>
        <v>6.4322721122689073</v>
      </c>
      <c r="O53" t="str">
        <f t="shared" si="91"/>
        <v/>
      </c>
      <c r="U53">
        <v>130</v>
      </c>
      <c r="V53">
        <v>1360</v>
      </c>
    </row>
    <row r="54">
      <c r="A54" s="3" t="s">
        <v>1122</v>
      </c>
      <c r="B54">
        <v>53</v>
      </c>
      <c r="G54">
        <v>0.167838245861265</v>
      </c>
      <c r="H54" s="141">
        <v>1800</v>
      </c>
      <c r="N54" t="str">
        <f t="shared" si="90"/>
        <v/>
      </c>
      <c r="O54" t="str">
        <f t="shared" si="91"/>
        <v/>
      </c>
      <c r="U54">
        <v>130</v>
      </c>
      <c r="V54">
        <v>1360</v>
      </c>
    </row>
    <row r="55">
      <c r="A55" s="3" t="s">
        <v>1123</v>
      </c>
      <c r="B55">
        <v>54</v>
      </c>
      <c r="G55">
        <v>0.24691374296719093</v>
      </c>
      <c r="H55" s="141">
        <v>1800</v>
      </c>
      <c r="N55" t="str">
        <f t="shared" si="90"/>
        <v/>
      </c>
      <c r="O55" t="str">
        <f t="shared" si="91"/>
        <v/>
      </c>
      <c r="U55">
        <v>130</v>
      </c>
      <c r="V55">
        <v>1360</v>
      </c>
    </row>
    <row r="56">
      <c r="A56" s="3" t="s">
        <v>1124</v>
      </c>
      <c r="B56">
        <v>55</v>
      </c>
      <c r="G56">
        <v>0.33682052809481194</v>
      </c>
      <c r="H56" s="141">
        <v>1800</v>
      </c>
      <c r="N56" t="str">
        <f t="shared" si="90"/>
        <v/>
      </c>
      <c r="O56" t="str">
        <f t="shared" si="91"/>
        <v/>
      </c>
      <c r="U56">
        <v>130</v>
      </c>
      <c r="V56">
        <v>1360</v>
      </c>
    </row>
    <row r="57">
      <c r="A57" s="3" t="s">
        <v>1125</v>
      </c>
      <c r="B57">
        <v>56</v>
      </c>
      <c r="G57">
        <v>0.35075086367686686</v>
      </c>
      <c r="H57" s="141">
        <v>1800</v>
      </c>
      <c r="N57" t="str">
        <f t="shared" si="90"/>
        <v/>
      </c>
      <c r="O57" t="str">
        <f t="shared" si="91"/>
        <v/>
      </c>
      <c r="U57">
        <v>130</v>
      </c>
      <c r="V57">
        <v>1360</v>
      </c>
    </row>
    <row r="58">
      <c r="A58" s="3" t="s">
        <v>1126</v>
      </c>
      <c r="B58">
        <v>57</v>
      </c>
      <c r="G58">
        <v>0.1622712796762435</v>
      </c>
      <c r="H58" s="141">
        <v>1800</v>
      </c>
      <c r="N58" t="str">
        <f t="shared" si="90"/>
        <v/>
      </c>
      <c r="O58" t="str">
        <f t="shared" si="91"/>
        <v/>
      </c>
      <c r="U58">
        <v>130</v>
      </c>
      <c r="V58">
        <v>1360</v>
      </c>
    </row>
    <row r="59">
      <c r="A59" s="3" t="s">
        <v>1127</v>
      </c>
      <c r="B59">
        <v>58</v>
      </c>
      <c r="G59">
        <v>0.21737001064099903</v>
      </c>
      <c r="H59" s="141">
        <v>1800</v>
      </c>
      <c r="N59" t="str">
        <f t="shared" si="90"/>
        <v/>
      </c>
      <c r="O59" t="str">
        <f t="shared" si="91"/>
        <v/>
      </c>
      <c r="U59">
        <v>130</v>
      </c>
      <c r="V59">
        <v>1360</v>
      </c>
    </row>
    <row r="60">
      <c r="A60" s="3" t="s">
        <v>1128</v>
      </c>
      <c r="B60">
        <v>59</v>
      </c>
      <c r="G60">
        <v>0.22961881823158142</v>
      </c>
      <c r="H60" s="141">
        <v>1800</v>
      </c>
      <c r="N60" t="str">
        <f t="shared" si="90"/>
        <v/>
      </c>
      <c r="O60" t="str">
        <f t="shared" si="91"/>
        <v/>
      </c>
      <c r="U60">
        <v>130</v>
      </c>
      <c r="V60">
        <v>1360</v>
      </c>
    </row>
    <row r="61">
      <c r="A61" s="3" t="s">
        <v>1129</v>
      </c>
      <c r="B61">
        <v>60</v>
      </c>
      <c r="G61">
        <v>0.15665189230307952</v>
      </c>
      <c r="H61" s="141">
        <v>1800</v>
      </c>
      <c r="N61" t="str">
        <f t="shared" si="90"/>
        <v/>
      </c>
      <c r="O61" t="str">
        <f t="shared" si="91"/>
        <v/>
      </c>
      <c r="U61">
        <v>130</v>
      </c>
      <c r="V61">
        <v>1360</v>
      </c>
    </row>
    <row r="62">
      <c r="A62" s="3" t="s">
        <v>1130</v>
      </c>
      <c r="B62">
        <v>61</v>
      </c>
      <c r="G62">
        <v>0.57287719126708825</v>
      </c>
      <c r="H62" s="141">
        <v>1800</v>
      </c>
      <c r="N62" t="str">
        <f t="shared" si="90"/>
        <v/>
      </c>
      <c r="O62" t="str">
        <f t="shared" si="91"/>
        <v/>
      </c>
      <c r="U62">
        <v>130</v>
      </c>
      <c r="V62">
        <v>1360</v>
      </c>
    </row>
    <row r="63">
      <c r="A63" s="3" t="s">
        <v>1131</v>
      </c>
      <c r="B63">
        <v>62</v>
      </c>
      <c r="G63">
        <v>0.15306395648053278</v>
      </c>
      <c r="H63" s="141">
        <v>1800</v>
      </c>
      <c r="N63" t="str">
        <f t="shared" si="90"/>
        <v/>
      </c>
      <c r="O63" t="str">
        <f t="shared" si="91"/>
        <v/>
      </c>
      <c r="U63">
        <v>130</v>
      </c>
      <c r="V63">
        <v>1360</v>
      </c>
    </row>
    <row r="64">
      <c r="A64" s="3" t="s">
        <v>1132</v>
      </c>
      <c r="B64">
        <v>63</v>
      </c>
      <c r="G64">
        <v>0.18932421406050529</v>
      </c>
      <c r="H64" s="141">
        <v>1800</v>
      </c>
      <c r="N64" t="str">
        <f t="shared" si="90"/>
        <v/>
      </c>
      <c r="O64" t="str">
        <f t="shared" si="91"/>
        <v/>
      </c>
      <c r="U64">
        <v>130</v>
      </c>
      <c r="V64">
        <v>1360</v>
      </c>
    </row>
    <row r="65">
      <c r="A65" s="3" t="s">
        <v>1133</v>
      </c>
      <c r="B65">
        <v>64</v>
      </c>
      <c r="G65">
        <v>0.31531272130072396</v>
      </c>
      <c r="H65" s="141">
        <v>1800</v>
      </c>
      <c r="N65" t="str">
        <f t="shared" si="90"/>
        <v/>
      </c>
      <c r="O65" t="str">
        <f t="shared" si="91"/>
        <v/>
      </c>
      <c r="U65">
        <v>130</v>
      </c>
      <c r="V65">
        <v>1360</v>
      </c>
    </row>
    <row r="66">
      <c r="A66" s="3" t="s">
        <v>1134</v>
      </c>
      <c r="B66">
        <v>65</v>
      </c>
      <c r="G66">
        <v>0.16863697528115126</v>
      </c>
      <c r="H66" s="141">
        <v>1800</v>
      </c>
      <c r="N66" t="str">
        <f t="shared" ref="N66:N129" si="96">IF(E66=1,F66,"")</f>
        <v/>
      </c>
      <c r="O66" t="str">
        <f t="shared" ref="O66" si="97">IF(E66=2,F66,"")</f>
        <v/>
      </c>
      <c r="U66">
        <v>130</v>
      </c>
      <c r="V66">
        <v>1360</v>
      </c>
    </row>
    <row r="67">
      <c r="A67" s="3" t="s">
        <v>1135</v>
      </c>
      <c r="B67">
        <v>66</v>
      </c>
      <c r="G67">
        <v>0.1681943182313482</v>
      </c>
      <c r="H67" s="141">
        <v>1800</v>
      </c>
      <c r="N67" t="str">
        <f t="shared" si="96"/>
        <v/>
      </c>
      <c r="O67" t="str">
        <f t="shared" ref="O67:O130" si="98">IF(E67=2,F67,"")</f>
        <v/>
      </c>
      <c r="U67">
        <v>130</v>
      </c>
      <c r="V67">
        <v>1360</v>
      </c>
    </row>
    <row r="68">
      <c r="A68" s="3" t="s">
        <v>1136</v>
      </c>
      <c r="B68">
        <v>67</v>
      </c>
      <c r="E68">
        <v>1</v>
      </c>
      <c r="F68">
        <v>9.1449701865546213</v>
      </c>
      <c r="G68">
        <v>0.18016432441957655</v>
      </c>
      <c r="H68" s="141">
        <v>1800</v>
      </c>
      <c r="N68">
        <f t="shared" si="96"/>
        <v>9.1449701865546213</v>
      </c>
      <c r="O68" t="str">
        <f t="shared" si="98"/>
        <v/>
      </c>
      <c r="U68">
        <v>130</v>
      </c>
      <c r="V68">
        <v>1360</v>
      </c>
    </row>
    <row r="69">
      <c r="A69" s="3" t="s">
        <v>1137</v>
      </c>
      <c r="B69">
        <v>68</v>
      </c>
      <c r="E69">
        <v>1</v>
      </c>
      <c r="F69">
        <v>4.5280155936134454</v>
      </c>
      <c r="G69">
        <v>0.30380027629030892</v>
      </c>
      <c r="H69" s="141">
        <v>1800</v>
      </c>
      <c r="N69">
        <f t="shared" si="96"/>
        <v>4.5280155936134454</v>
      </c>
      <c r="O69" t="str">
        <f t="shared" si="98"/>
        <v/>
      </c>
      <c r="U69">
        <v>130</v>
      </c>
      <c r="V69">
        <v>1360</v>
      </c>
    </row>
    <row r="70">
      <c r="A70" s="3" t="s">
        <v>1138</v>
      </c>
      <c r="B70">
        <v>69</v>
      </c>
      <c r="E70">
        <v>1</v>
      </c>
      <c r="F70">
        <v>2.1716370006722689</v>
      </c>
      <c r="G70">
        <v>0.16435502350058068</v>
      </c>
      <c r="H70" s="141">
        <v>1800</v>
      </c>
      <c r="N70">
        <f t="shared" si="96"/>
        <v>2.1716370006722689</v>
      </c>
      <c r="O70" t="str">
        <f t="shared" si="98"/>
        <v/>
      </c>
      <c r="U70">
        <v>130</v>
      </c>
      <c r="V70">
        <v>1360</v>
      </c>
    </row>
    <row r="71">
      <c r="A71" s="3" t="s">
        <v>1139</v>
      </c>
      <c r="B71">
        <v>70</v>
      </c>
      <c r="E71">
        <v>1</v>
      </c>
      <c r="F71">
        <v>1.1543760638655467</v>
      </c>
      <c r="G71">
        <v>0.19334969926164258</v>
      </c>
      <c r="H71" s="141">
        <v>1800</v>
      </c>
      <c r="N71">
        <f t="shared" si="96"/>
        <v>1.1543760638655467</v>
      </c>
      <c r="O71" t="str">
        <f t="shared" si="98"/>
        <v/>
      </c>
      <c r="U71">
        <v>130</v>
      </c>
      <c r="V71">
        <v>1360</v>
      </c>
    </row>
    <row r="72">
      <c r="A72" s="3" t="s">
        <v>1140</v>
      </c>
      <c r="B72">
        <v>71</v>
      </c>
      <c r="E72">
        <v>1</v>
      </c>
      <c r="F72">
        <v>1.3333284709243696</v>
      </c>
      <c r="G72">
        <v>0.1899253593913631</v>
      </c>
      <c r="H72" s="141">
        <v>1800</v>
      </c>
      <c r="N72">
        <f t="shared" si="96"/>
        <v>1.3333284709243696</v>
      </c>
      <c r="O72" t="str">
        <f t="shared" si="98"/>
        <v/>
      </c>
      <c r="U72">
        <v>130</v>
      </c>
      <c r="V72">
        <v>1360</v>
      </c>
    </row>
    <row r="73">
      <c r="A73" s="3" t="s">
        <v>1141</v>
      </c>
      <c r="B73">
        <v>72</v>
      </c>
      <c r="E73">
        <v>1</v>
      </c>
      <c r="F73">
        <v>6.8245838779831933</v>
      </c>
      <c r="G73">
        <v>0.14611840758133943</v>
      </c>
      <c r="H73" s="141">
        <v>1800</v>
      </c>
      <c r="N73">
        <f t="shared" si="96"/>
        <v>6.8245838779831933</v>
      </c>
      <c r="O73" t="str">
        <f t="shared" si="98"/>
        <v/>
      </c>
      <c r="U73">
        <v>130</v>
      </c>
      <c r="V73">
        <v>1360</v>
      </c>
    </row>
    <row r="74">
      <c r="A74" s="3" t="s">
        <v>1142</v>
      </c>
      <c r="B74">
        <v>73</v>
      </c>
      <c r="E74">
        <v>1</v>
      </c>
      <c r="F74">
        <v>8.9545822850420169</v>
      </c>
      <c r="G74">
        <v>0.17460888669753219</v>
      </c>
      <c r="H74" s="141">
        <v>1800</v>
      </c>
      <c r="N74">
        <f t="shared" si="96"/>
        <v>8.9545822850420169</v>
      </c>
      <c r="O74" t="str">
        <f t="shared" si="98"/>
        <v/>
      </c>
      <c r="U74">
        <v>130</v>
      </c>
      <c r="V74">
        <v>1360</v>
      </c>
    </row>
    <row r="75">
      <c r="A75" s="3" t="s">
        <v>1143</v>
      </c>
      <c r="B75">
        <v>74</v>
      </c>
      <c r="E75">
        <v>1</v>
      </c>
      <c r="F75">
        <v>11.46743869210084</v>
      </c>
      <c r="G75">
        <v>0.1563315801620889</v>
      </c>
      <c r="H75" s="141">
        <v>1800</v>
      </c>
      <c r="N75">
        <f t="shared" si="96"/>
        <v>11.46743869210084</v>
      </c>
      <c r="O75" t="str">
        <f t="shared" si="98"/>
        <v/>
      </c>
      <c r="U75">
        <v>130</v>
      </c>
      <c r="V75">
        <v>1360</v>
      </c>
    </row>
    <row r="76">
      <c r="A76" s="3" t="s">
        <v>1144</v>
      </c>
      <c r="B76">
        <v>75</v>
      </c>
      <c r="E76">
        <v>1</v>
      </c>
      <c r="F76">
        <v>14.015744755294117</v>
      </c>
      <c r="G76">
        <v>0.28419263008401191</v>
      </c>
      <c r="H76" s="141">
        <v>1800</v>
      </c>
      <c r="N76">
        <f t="shared" si="96"/>
        <v>14.015744755294117</v>
      </c>
      <c r="O76" t="str">
        <f t="shared" si="98"/>
        <v/>
      </c>
      <c r="U76">
        <v>130</v>
      </c>
      <c r="V76">
        <v>1360</v>
      </c>
    </row>
    <row r="77">
      <c r="A77" s="3" t="s">
        <v>1145</v>
      </c>
      <c r="B77">
        <v>76</v>
      </c>
      <c r="E77">
        <v>1</v>
      </c>
      <c r="F77">
        <v>10.926457162352941</v>
      </c>
      <c r="G77">
        <v>0.16813348683432466</v>
      </c>
      <c r="H77" s="141">
        <v>1800</v>
      </c>
      <c r="N77">
        <f t="shared" si="96"/>
        <v>10.926457162352941</v>
      </c>
      <c r="O77" t="str">
        <f t="shared" si="98"/>
        <v/>
      </c>
      <c r="U77">
        <v>130</v>
      </c>
      <c r="V77">
        <v>1360</v>
      </c>
    </row>
    <row r="78">
      <c r="A78" s="3" t="s">
        <v>1146</v>
      </c>
      <c r="B78">
        <v>77</v>
      </c>
      <c r="E78">
        <v>1</v>
      </c>
      <c r="F78">
        <v>11.043625569411764</v>
      </c>
      <c r="G78">
        <v>0.14384044253167477</v>
      </c>
      <c r="H78" s="141">
        <v>1800</v>
      </c>
      <c r="N78">
        <f t="shared" si="96"/>
        <v>11.043625569411764</v>
      </c>
      <c r="O78" t="str">
        <f t="shared" si="98"/>
        <v/>
      </c>
      <c r="U78">
        <v>130</v>
      </c>
      <c r="V78">
        <v>1360</v>
      </c>
    </row>
    <row r="79">
      <c r="A79" s="3" t="s">
        <v>1147</v>
      </c>
      <c r="B79">
        <v>78</v>
      </c>
      <c r="E79">
        <v>1</v>
      </c>
      <c r="F79">
        <v>9.8965139764705867</v>
      </c>
      <c r="G79">
        <v>0.15238269470670882</v>
      </c>
      <c r="H79" s="141">
        <v>1800</v>
      </c>
      <c r="N79">
        <f t="shared" si="96"/>
        <v>9.8965139764705867</v>
      </c>
      <c r="O79" t="str">
        <f t="shared" si="98"/>
        <v/>
      </c>
      <c r="U79">
        <v>130</v>
      </c>
      <c r="V79">
        <v>1360</v>
      </c>
    </row>
    <row r="80">
      <c r="A80" s="3" t="s">
        <v>1148</v>
      </c>
      <c r="B80">
        <v>79</v>
      </c>
      <c r="E80">
        <v>1</v>
      </c>
      <c r="F80">
        <v>9.1387033835294105</v>
      </c>
      <c r="G80">
        <v>0.140901600986683</v>
      </c>
      <c r="H80" s="141">
        <v>1800</v>
      </c>
      <c r="N80">
        <f t="shared" si="96"/>
        <v>9.1387033835294105</v>
      </c>
      <c r="O80" t="str">
        <f t="shared" si="98"/>
        <v/>
      </c>
      <c r="U80">
        <v>130</v>
      </c>
      <c r="V80">
        <v>1360</v>
      </c>
    </row>
    <row r="81">
      <c r="A81" s="3" t="s">
        <v>1149</v>
      </c>
      <c r="B81">
        <v>80</v>
      </c>
      <c r="E81">
        <v>1</v>
      </c>
      <c r="F81">
        <v>14.470195446722688</v>
      </c>
      <c r="G81">
        <v>0.15124068296420654</v>
      </c>
      <c r="H81" s="141">
        <v>1800</v>
      </c>
      <c r="N81">
        <f t="shared" si="96"/>
        <v>14.470195446722688</v>
      </c>
      <c r="O81" t="str">
        <f t="shared" si="98"/>
        <v/>
      </c>
      <c r="U81">
        <v>130</v>
      </c>
      <c r="V81">
        <v>1360</v>
      </c>
    </row>
    <row r="82">
      <c r="A82" s="3" t="s">
        <v>1150</v>
      </c>
      <c r="B82">
        <v>81</v>
      </c>
      <c r="E82">
        <v>1</v>
      </c>
      <c r="F82">
        <v>12.145977853781513</v>
      </c>
      <c r="G82">
        <v>0.15379475005033308</v>
      </c>
      <c r="H82" s="141">
        <v>1800</v>
      </c>
      <c r="N82">
        <f t="shared" si="96"/>
        <v>12.145977853781513</v>
      </c>
      <c r="O82" t="str">
        <f t="shared" si="98"/>
        <v/>
      </c>
      <c r="U82">
        <v>130</v>
      </c>
      <c r="V82">
        <v>1360</v>
      </c>
    </row>
    <row r="83">
      <c r="A83" s="3" t="s">
        <v>1151</v>
      </c>
      <c r="B83">
        <v>82</v>
      </c>
      <c r="E83">
        <v>1</v>
      </c>
      <c r="F83">
        <v>13.176231260840336</v>
      </c>
      <c r="G83">
        <v>0.15470110026927936</v>
      </c>
      <c r="H83" s="141">
        <v>1800</v>
      </c>
      <c r="N83">
        <f t="shared" si="96"/>
        <v>13.176231260840336</v>
      </c>
      <c r="O83" t="str">
        <f t="shared" si="98"/>
        <v/>
      </c>
      <c r="U83">
        <v>130</v>
      </c>
      <c r="V83">
        <v>1360</v>
      </c>
    </row>
    <row r="84">
      <c r="A84" s="3" t="s">
        <v>1152</v>
      </c>
      <c r="B84">
        <v>83</v>
      </c>
      <c r="E84">
        <v>1</v>
      </c>
      <c r="F84">
        <v>7.4667946678991592</v>
      </c>
      <c r="G84">
        <v>0.14586015746473616</v>
      </c>
      <c r="H84" s="141">
        <v>1800</v>
      </c>
      <c r="N84">
        <f t="shared" si="96"/>
        <v>7.4667946678991592</v>
      </c>
      <c r="O84" t="str">
        <f t="shared" si="98"/>
        <v/>
      </c>
      <c r="U84">
        <v>130</v>
      </c>
      <c r="V84">
        <v>1360</v>
      </c>
    </row>
    <row r="85">
      <c r="A85" s="3" t="s">
        <v>1153</v>
      </c>
      <c r="B85">
        <v>84</v>
      </c>
      <c r="E85">
        <v>1</v>
      </c>
      <c r="F85">
        <v>9.7974360749579823</v>
      </c>
      <c r="G85">
        <v>0.16204700012918605</v>
      </c>
      <c r="H85" s="141">
        <v>1800</v>
      </c>
      <c r="N85">
        <f t="shared" si="96"/>
        <v>9.7974360749579823</v>
      </c>
      <c r="O85" t="str">
        <f t="shared" si="98"/>
        <v/>
      </c>
      <c r="U85">
        <v>130</v>
      </c>
      <c r="V85">
        <v>1360</v>
      </c>
    </row>
    <row r="86">
      <c r="A86" s="3" t="s">
        <v>1154</v>
      </c>
      <c r="B86">
        <v>85</v>
      </c>
      <c r="C86" s="4">
        <v>1.6268000000000001e-05</v>
      </c>
      <c r="D86" s="4">
        <f>C86/0.00003023</f>
        <v>0.53814091961627519</v>
      </c>
      <c r="E86">
        <v>2</v>
      </c>
      <c r="F86">
        <v>18.077742138151262</v>
      </c>
      <c r="G86">
        <v>0.15055688291568617</v>
      </c>
      <c r="H86" s="141">
        <v>1800</v>
      </c>
      <c r="N86" t="str">
        <f t="shared" si="96"/>
        <v/>
      </c>
      <c r="O86">
        <f t="shared" si="98"/>
        <v>18.077742138151262</v>
      </c>
      <c r="U86">
        <v>130</v>
      </c>
      <c r="V86">
        <v>1360</v>
      </c>
    </row>
    <row r="87">
      <c r="A87" s="3" t="s">
        <v>1155</v>
      </c>
      <c r="B87">
        <v>86</v>
      </c>
      <c r="E87">
        <v>1</v>
      </c>
      <c r="F87">
        <v>9.142353545210085</v>
      </c>
      <c r="G87">
        <v>0.14998543337572362</v>
      </c>
      <c r="H87" s="141">
        <v>1800</v>
      </c>
      <c r="N87">
        <f t="shared" si="96"/>
        <v>9.142353545210085</v>
      </c>
      <c r="O87" t="str">
        <f t="shared" si="98"/>
        <v/>
      </c>
      <c r="U87">
        <v>130</v>
      </c>
      <c r="V87">
        <v>1360</v>
      </c>
    </row>
    <row r="88">
      <c r="A88" s="3" t="s">
        <v>1156</v>
      </c>
      <c r="B88">
        <v>87</v>
      </c>
      <c r="E88">
        <v>1</v>
      </c>
      <c r="F88">
        <v>7.7782139522689073</v>
      </c>
      <c r="G88">
        <v>0.15784890814799588</v>
      </c>
      <c r="H88" s="141">
        <v>1800</v>
      </c>
      <c r="N88">
        <f t="shared" si="96"/>
        <v>7.7782139522689073</v>
      </c>
      <c r="O88" t="str">
        <f t="shared" si="98"/>
        <v/>
      </c>
      <c r="U88">
        <v>130</v>
      </c>
      <c r="V88">
        <v>1360</v>
      </c>
    </row>
    <row r="89">
      <c r="A89" s="3" t="s">
        <v>1157</v>
      </c>
      <c r="B89">
        <v>88</v>
      </c>
      <c r="E89">
        <v>1</v>
      </c>
      <c r="F89">
        <v>8.393401359327731</v>
      </c>
      <c r="G89">
        <v>0.18623520782358105</v>
      </c>
      <c r="H89" s="141">
        <v>1800</v>
      </c>
      <c r="N89">
        <f t="shared" si="96"/>
        <v>8.393401359327731</v>
      </c>
      <c r="O89" t="str">
        <f t="shared" si="98"/>
        <v/>
      </c>
      <c r="U89">
        <v>130</v>
      </c>
      <c r="V89">
        <v>1360</v>
      </c>
    </row>
    <row r="90">
      <c r="A90" s="3" t="s">
        <v>1158</v>
      </c>
      <c r="B90">
        <v>89</v>
      </c>
      <c r="E90">
        <v>1</v>
      </c>
      <c r="F90">
        <v>8.5019617663865539</v>
      </c>
      <c r="G90">
        <v>0.17177880001445006</v>
      </c>
      <c r="H90" s="141">
        <v>1800</v>
      </c>
      <c r="N90">
        <f t="shared" si="96"/>
        <v>8.5019617663865539</v>
      </c>
      <c r="O90" t="str">
        <f t="shared" si="98"/>
        <v/>
      </c>
      <c r="U90">
        <v>130</v>
      </c>
      <c r="V90">
        <v>1360</v>
      </c>
    </row>
    <row r="91">
      <c r="A91" s="3" t="s">
        <v>1159</v>
      </c>
      <c r="B91">
        <v>90</v>
      </c>
      <c r="C91" s="4">
        <v>4.367e-05</v>
      </c>
      <c r="D91" s="4">
        <f t="shared" ref="D91:D92" si="99">C91/0.00004935</f>
        <v>0.88490374873353594</v>
      </c>
      <c r="E91">
        <v>2</v>
      </c>
      <c r="F91">
        <v>15.486162829579833</v>
      </c>
      <c r="G91">
        <v>0.16772262964119669</v>
      </c>
      <c r="H91" s="141">
        <v>1800</v>
      </c>
      <c r="N91" t="str">
        <f t="shared" si="96"/>
        <v/>
      </c>
      <c r="O91">
        <f t="shared" si="98"/>
        <v>15.486162829579833</v>
      </c>
      <c r="U91">
        <v>130</v>
      </c>
      <c r="V91">
        <v>1360</v>
      </c>
    </row>
    <row r="92">
      <c r="A92" s="3" t="s">
        <v>1160</v>
      </c>
      <c r="B92">
        <v>91</v>
      </c>
      <c r="C92" s="4">
        <v>2.6974410000000001e-05</v>
      </c>
      <c r="D92" s="4">
        <f t="shared" si="99"/>
        <v>0.54659392097264436</v>
      </c>
      <c r="E92">
        <v>2</v>
      </c>
      <c r="F92">
        <v>15.693508236638655</v>
      </c>
      <c r="G92">
        <v>0.1452340879576404</v>
      </c>
      <c r="H92" s="141">
        <v>1800</v>
      </c>
      <c r="N92" t="str">
        <f t="shared" si="96"/>
        <v/>
      </c>
      <c r="O92">
        <f t="shared" si="98"/>
        <v>15.693508236638655</v>
      </c>
      <c r="U92">
        <v>130</v>
      </c>
      <c r="V92">
        <v>1360</v>
      </c>
    </row>
    <row r="93">
      <c r="A93" s="3" t="s">
        <v>1161</v>
      </c>
      <c r="B93">
        <v>92</v>
      </c>
      <c r="E93">
        <v>1</v>
      </c>
      <c r="F93">
        <v>15.029511643697479</v>
      </c>
      <c r="G93">
        <v>0.14901878335160179</v>
      </c>
      <c r="H93" s="141">
        <v>1800</v>
      </c>
      <c r="N93">
        <f t="shared" si="96"/>
        <v>15.029511643697479</v>
      </c>
      <c r="O93" t="str">
        <f t="shared" si="98"/>
        <v/>
      </c>
      <c r="U93">
        <v>130</v>
      </c>
      <c r="V93">
        <v>1360</v>
      </c>
    </row>
    <row r="94">
      <c r="A94" s="3" t="s">
        <v>1162</v>
      </c>
      <c r="B94">
        <v>93</v>
      </c>
      <c r="E94">
        <v>1</v>
      </c>
      <c r="F94">
        <v>15.538984050756302</v>
      </c>
      <c r="G94">
        <v>0.17382660689913967</v>
      </c>
      <c r="H94" s="141">
        <v>1800</v>
      </c>
      <c r="N94">
        <f t="shared" si="96"/>
        <v>15.538984050756302</v>
      </c>
      <c r="O94" t="str">
        <f t="shared" si="98"/>
        <v/>
      </c>
      <c r="U94">
        <v>130</v>
      </c>
      <c r="V94">
        <v>1360</v>
      </c>
    </row>
    <row r="95">
      <c r="A95" s="3" t="s">
        <v>1163</v>
      </c>
      <c r="B95">
        <v>94</v>
      </c>
      <c r="E95">
        <v>1</v>
      </c>
      <c r="F95">
        <v>15.487771457815125</v>
      </c>
      <c r="G95">
        <v>0.14806951983602712</v>
      </c>
      <c r="H95" s="141">
        <v>1800</v>
      </c>
      <c r="N95">
        <f t="shared" si="96"/>
        <v>15.487771457815125</v>
      </c>
      <c r="O95" t="str">
        <f t="shared" si="98"/>
        <v/>
      </c>
      <c r="U95">
        <v>130</v>
      </c>
      <c r="V95">
        <v>1360</v>
      </c>
    </row>
    <row r="96">
      <c r="A96" s="3" t="s">
        <v>1164</v>
      </c>
      <c r="B96">
        <v>95</v>
      </c>
      <c r="C96" s="4">
        <f t="shared" ref="C96:C97" si="100">C97+0.000025647</f>
        <v>8.2294000000000009e-05</v>
      </c>
      <c r="D96" s="4">
        <f t="shared" ref="D96:D98" si="101">C96/0.000088</f>
        <v>0.935159090909091</v>
      </c>
      <c r="E96">
        <v>2</v>
      </c>
      <c r="F96">
        <v>16.142504521008405</v>
      </c>
      <c r="G96">
        <v>0.15723703554649723</v>
      </c>
      <c r="H96" s="141">
        <v>1800</v>
      </c>
      <c r="N96" t="str">
        <f t="shared" si="96"/>
        <v/>
      </c>
      <c r="O96">
        <f t="shared" si="98"/>
        <v>16.142504521008405</v>
      </c>
      <c r="U96">
        <v>130</v>
      </c>
      <c r="V96">
        <v>1360</v>
      </c>
    </row>
    <row r="97">
      <c r="A97" s="3" t="s">
        <v>1165</v>
      </c>
      <c r="B97">
        <v>96</v>
      </c>
      <c r="C97" s="4">
        <f t="shared" si="100"/>
        <v>5.6647000000000002e-05</v>
      </c>
      <c r="D97" s="4">
        <f t="shared" si="101"/>
        <v>0.64371590909090914</v>
      </c>
      <c r="E97">
        <v>2</v>
      </c>
      <c r="F97">
        <v>20.801090928067225</v>
      </c>
      <c r="G97">
        <v>0.14633164097478174</v>
      </c>
      <c r="H97" s="141">
        <v>1800</v>
      </c>
      <c r="N97" t="str">
        <f t="shared" si="96"/>
        <v/>
      </c>
      <c r="O97">
        <f t="shared" si="98"/>
        <v>20.801090928067225</v>
      </c>
      <c r="U97">
        <v>130</v>
      </c>
      <c r="V97">
        <v>1360</v>
      </c>
    </row>
    <row r="98">
      <c r="A98" s="3" t="s">
        <v>1166</v>
      </c>
      <c r="B98">
        <v>97</v>
      </c>
      <c r="C98" s="4">
        <v>3.1000000000000001e-05</v>
      </c>
      <c r="D98" s="4">
        <f t="shared" si="101"/>
        <v>0.35227272727272729</v>
      </c>
      <c r="E98">
        <v>2</v>
      </c>
      <c r="F98">
        <v>21.760387335126048</v>
      </c>
      <c r="G98">
        <v>0.16166819156973344</v>
      </c>
      <c r="H98" s="141">
        <v>1800</v>
      </c>
      <c r="N98" t="str">
        <f t="shared" si="96"/>
        <v/>
      </c>
      <c r="O98">
        <f t="shared" si="98"/>
        <v>21.760387335126048</v>
      </c>
      <c r="U98">
        <v>130</v>
      </c>
      <c r="V98">
        <v>1360</v>
      </c>
    </row>
    <row r="99">
      <c r="A99" s="3" t="s">
        <v>1167</v>
      </c>
      <c r="B99">
        <v>98</v>
      </c>
      <c r="E99">
        <v>1</v>
      </c>
      <c r="F99">
        <v>7.7665027421848736</v>
      </c>
      <c r="G99">
        <v>0.15205181775956653</v>
      </c>
      <c r="H99" s="141">
        <v>1800</v>
      </c>
      <c r="N99">
        <f t="shared" si="96"/>
        <v>7.7665027421848736</v>
      </c>
      <c r="O99" t="str">
        <f t="shared" si="98"/>
        <v/>
      </c>
      <c r="U99">
        <v>130</v>
      </c>
      <c r="V99">
        <v>1360</v>
      </c>
    </row>
    <row r="100">
      <c r="A100" s="3" t="s">
        <v>1168</v>
      </c>
      <c r="B100">
        <v>99</v>
      </c>
      <c r="E100">
        <v>1</v>
      </c>
      <c r="F100">
        <v>6.8791551492436973</v>
      </c>
      <c r="G100">
        <v>0.12007894661891413</v>
      </c>
      <c r="H100" s="141">
        <v>1800</v>
      </c>
      <c r="N100">
        <f t="shared" si="96"/>
        <v>6.8791551492436973</v>
      </c>
      <c r="O100" t="str">
        <f t="shared" si="98"/>
        <v/>
      </c>
      <c r="U100">
        <v>130</v>
      </c>
      <c r="V100">
        <v>1360</v>
      </c>
    </row>
    <row r="101">
      <c r="A101" s="3" t="s">
        <v>1169</v>
      </c>
      <c r="B101">
        <v>100</v>
      </c>
      <c r="E101">
        <v>1</v>
      </c>
      <c r="F101">
        <v>8.5319002124369749</v>
      </c>
      <c r="G101">
        <v>0.14995508991189471</v>
      </c>
      <c r="H101" s="141">
        <v>1800</v>
      </c>
      <c r="N101">
        <f t="shared" si="96"/>
        <v>8.5319002124369749</v>
      </c>
      <c r="O101" t="str">
        <f t="shared" si="98"/>
        <v/>
      </c>
      <c r="U101">
        <v>130</v>
      </c>
      <c r="V101">
        <v>1360</v>
      </c>
    </row>
    <row r="102">
      <c r="A102" s="3" t="s">
        <v>1170</v>
      </c>
      <c r="B102">
        <v>101</v>
      </c>
      <c r="E102">
        <v>1</v>
      </c>
      <c r="F102">
        <v>8.1416856194957976</v>
      </c>
      <c r="G102">
        <v>0.1622188674474262</v>
      </c>
      <c r="H102" s="141">
        <v>1800</v>
      </c>
      <c r="N102">
        <f t="shared" si="96"/>
        <v>8.1416856194957976</v>
      </c>
      <c r="O102" t="str">
        <f t="shared" si="98"/>
        <v/>
      </c>
      <c r="U102">
        <v>130</v>
      </c>
      <c r="V102">
        <v>1360</v>
      </c>
    </row>
    <row r="103">
      <c r="A103" s="3" t="s">
        <v>1171</v>
      </c>
      <c r="B103">
        <v>102</v>
      </c>
      <c r="E103">
        <v>1</v>
      </c>
      <c r="F103">
        <v>8.8435290265546218</v>
      </c>
      <c r="G103">
        <v>0.17823386594926463</v>
      </c>
      <c r="H103" s="141">
        <v>1800</v>
      </c>
      <c r="N103">
        <f t="shared" si="96"/>
        <v>8.8435290265546218</v>
      </c>
      <c r="O103" t="str">
        <f t="shared" si="98"/>
        <v/>
      </c>
      <c r="U103">
        <v>130</v>
      </c>
      <c r="V103">
        <v>1360</v>
      </c>
    </row>
    <row r="104">
      <c r="A104" s="3" t="s">
        <v>1172</v>
      </c>
      <c r="B104">
        <v>103</v>
      </c>
      <c r="E104">
        <v>1</v>
      </c>
      <c r="F104">
        <v>11.045392433613445</v>
      </c>
      <c r="G104">
        <v>0.19060062119493112</v>
      </c>
      <c r="H104" s="141">
        <v>1800</v>
      </c>
      <c r="N104">
        <f t="shared" si="96"/>
        <v>11.045392433613445</v>
      </c>
      <c r="O104" t="str">
        <f t="shared" si="98"/>
        <v/>
      </c>
      <c r="U104">
        <v>130</v>
      </c>
      <c r="V104">
        <v>1360</v>
      </c>
    </row>
    <row r="105">
      <c r="A105" s="3" t="s">
        <v>1173</v>
      </c>
      <c r="B105">
        <v>104</v>
      </c>
      <c r="E105">
        <v>1</v>
      </c>
      <c r="F105">
        <v>8.6539508406722696</v>
      </c>
      <c r="G105">
        <v>0.14588922634162549</v>
      </c>
      <c r="H105" s="141">
        <v>1800</v>
      </c>
      <c r="N105">
        <f t="shared" si="96"/>
        <v>8.6539508406722696</v>
      </c>
      <c r="O105" t="str">
        <f t="shared" si="98"/>
        <v/>
      </c>
      <c r="U105">
        <v>130</v>
      </c>
      <c r="V105">
        <v>1360</v>
      </c>
    </row>
    <row r="106">
      <c r="A106" s="3" t="s">
        <v>1174</v>
      </c>
      <c r="B106">
        <v>105</v>
      </c>
      <c r="E106">
        <v>1</v>
      </c>
      <c r="F106">
        <v>8.1080539038655459</v>
      </c>
      <c r="G106">
        <v>0.16526017520355119</v>
      </c>
      <c r="H106" s="141">
        <v>1800</v>
      </c>
      <c r="N106">
        <f t="shared" si="96"/>
        <v>8.1080539038655459</v>
      </c>
      <c r="O106" t="str">
        <f t="shared" si="98"/>
        <v/>
      </c>
      <c r="U106">
        <v>130</v>
      </c>
      <c r="V106">
        <v>1360</v>
      </c>
    </row>
    <row r="107">
      <c r="A107" s="3" t="s">
        <v>1175</v>
      </c>
      <c r="B107">
        <v>106</v>
      </c>
      <c r="C107" s="4">
        <v>4.7320000000000001e-05</v>
      </c>
      <c r="D107" s="4">
        <f t="shared" ref="D107:D112" si="102">C107/0.00009035444</f>
        <v>0.52371527066074453</v>
      </c>
      <c r="E107">
        <v>2</v>
      </c>
      <c r="F107">
        <v>16.267728310924369</v>
      </c>
      <c r="G107">
        <v>0.11356350030826995</v>
      </c>
      <c r="H107" s="141">
        <v>1800</v>
      </c>
      <c r="N107" t="str">
        <f t="shared" si="96"/>
        <v/>
      </c>
      <c r="O107">
        <f t="shared" si="98"/>
        <v>16.267728310924369</v>
      </c>
      <c r="U107">
        <v>130</v>
      </c>
      <c r="V107">
        <v>1360</v>
      </c>
    </row>
    <row r="108">
      <c r="A108" s="3" t="s">
        <v>1176</v>
      </c>
      <c r="B108">
        <v>107</v>
      </c>
      <c r="C108" s="4">
        <v>8.2000000000000001e-05</v>
      </c>
      <c r="D108" s="4">
        <f t="shared" si="102"/>
        <v>0.90753702861752006</v>
      </c>
      <c r="E108">
        <v>2</v>
      </c>
      <c r="F108">
        <v>14.997115717983194</v>
      </c>
      <c r="G108">
        <v>0.15705766473987706</v>
      </c>
      <c r="H108" s="141">
        <v>1800</v>
      </c>
      <c r="N108" t="str">
        <f t="shared" si="96"/>
        <v/>
      </c>
      <c r="O108">
        <f t="shared" si="98"/>
        <v>14.997115717983194</v>
      </c>
      <c r="U108">
        <v>130</v>
      </c>
      <c r="V108">
        <v>1360</v>
      </c>
    </row>
    <row r="109">
      <c r="A109" s="3" t="s">
        <v>1177</v>
      </c>
      <c r="B109">
        <v>108</v>
      </c>
      <c r="C109" s="4">
        <v>3.9224000000000003e-05</v>
      </c>
      <c r="D109" s="4">
        <f t="shared" si="102"/>
        <v>0.43411259037187327</v>
      </c>
      <c r="E109">
        <v>2</v>
      </c>
      <c r="F109">
        <v>16.845615125042016</v>
      </c>
      <c r="G109">
        <v>0.1255773498368859</v>
      </c>
      <c r="H109" s="141">
        <v>1800</v>
      </c>
      <c r="N109" t="str">
        <f t="shared" si="96"/>
        <v/>
      </c>
      <c r="O109">
        <f t="shared" si="98"/>
        <v>16.845615125042016</v>
      </c>
      <c r="U109">
        <v>130</v>
      </c>
      <c r="V109">
        <v>1360</v>
      </c>
    </row>
    <row r="110">
      <c r="A110" s="3" t="s">
        <v>1178</v>
      </c>
      <c r="B110">
        <v>109</v>
      </c>
      <c r="C110" s="4">
        <v>7.8363999999999997e-05</v>
      </c>
      <c r="D110" s="4">
        <f t="shared" si="102"/>
        <v>0.86729550866565053</v>
      </c>
      <c r="E110">
        <v>2</v>
      </c>
      <c r="F110">
        <v>14.92136953210084</v>
      </c>
      <c r="G110">
        <v>0.172797384769908</v>
      </c>
      <c r="H110" s="141">
        <v>1800</v>
      </c>
      <c r="N110" t="str">
        <f t="shared" si="96"/>
        <v/>
      </c>
      <c r="O110">
        <f t="shared" si="98"/>
        <v>14.92136953210084</v>
      </c>
      <c r="U110">
        <v>130</v>
      </c>
      <c r="V110">
        <v>1360</v>
      </c>
    </row>
    <row r="111">
      <c r="A111" s="3" t="s">
        <v>1179</v>
      </c>
      <c r="B111">
        <v>110</v>
      </c>
      <c r="C111">
        <v>2.1655544454e-05</v>
      </c>
      <c r="D111" s="4">
        <f t="shared" si="102"/>
        <v>0.23967327398631436</v>
      </c>
      <c r="E111">
        <v>2</v>
      </c>
      <c r="F111">
        <v>20.370635595294118</v>
      </c>
      <c r="G111">
        <v>0.17227407379040069</v>
      </c>
      <c r="H111" s="141">
        <v>1800</v>
      </c>
      <c r="N111" t="str">
        <f t="shared" si="96"/>
        <v/>
      </c>
      <c r="O111">
        <f t="shared" si="98"/>
        <v>20.370635595294118</v>
      </c>
      <c r="U111">
        <v>130</v>
      </c>
      <c r="V111">
        <v>1360</v>
      </c>
    </row>
    <row r="112">
      <c r="A112" s="3" t="s">
        <v>1180</v>
      </c>
      <c r="B112">
        <v>111</v>
      </c>
      <c r="C112" s="4">
        <v>6.4999999999999994e-05</v>
      </c>
      <c r="D112" s="4">
        <f t="shared" si="102"/>
        <v>0.71938910805047318</v>
      </c>
      <c r="E112">
        <v>2</v>
      </c>
      <c r="F112">
        <v>15.856277002352941</v>
      </c>
      <c r="G112">
        <v>0.15894157779532841</v>
      </c>
      <c r="H112" s="141">
        <v>1800</v>
      </c>
      <c r="N112" t="str">
        <f t="shared" si="96"/>
        <v/>
      </c>
      <c r="O112">
        <f t="shared" si="98"/>
        <v>15.856277002352941</v>
      </c>
      <c r="U112">
        <v>130</v>
      </c>
      <c r="V112">
        <v>1360</v>
      </c>
    </row>
    <row r="113">
      <c r="A113" s="3" t="s">
        <v>1181</v>
      </c>
      <c r="B113">
        <v>112</v>
      </c>
      <c r="E113">
        <v>1</v>
      </c>
      <c r="F113">
        <v>6.3253724094117647</v>
      </c>
      <c r="G113">
        <v>0.20680600092583976</v>
      </c>
      <c r="H113" s="141">
        <v>1800</v>
      </c>
      <c r="N113">
        <f t="shared" si="96"/>
        <v>6.3253724094117647</v>
      </c>
      <c r="O113" t="str">
        <f t="shared" si="98"/>
        <v/>
      </c>
      <c r="U113">
        <v>130</v>
      </c>
      <c r="V113">
        <v>1360</v>
      </c>
    </row>
    <row r="114">
      <c r="A114" s="3" t="s">
        <v>1182</v>
      </c>
      <c r="B114">
        <v>113</v>
      </c>
      <c r="E114">
        <v>1</v>
      </c>
      <c r="F114">
        <v>11.034682816470589</v>
      </c>
      <c r="G114">
        <v>0.13459568590086993</v>
      </c>
      <c r="H114" s="141">
        <v>1800</v>
      </c>
      <c r="N114">
        <f t="shared" si="96"/>
        <v>11.034682816470589</v>
      </c>
      <c r="O114" t="str">
        <f t="shared" si="98"/>
        <v/>
      </c>
      <c r="U114">
        <v>130</v>
      </c>
      <c r="V114">
        <v>1360</v>
      </c>
    </row>
    <row r="115">
      <c r="A115" s="3" t="s">
        <v>1183</v>
      </c>
      <c r="B115">
        <v>114</v>
      </c>
      <c r="E115">
        <v>1</v>
      </c>
      <c r="F115">
        <v>9.508668223529412</v>
      </c>
      <c r="G115">
        <v>0.16847392759817892</v>
      </c>
      <c r="H115" s="141">
        <v>1800</v>
      </c>
      <c r="N115">
        <f t="shared" si="96"/>
        <v>9.508668223529412</v>
      </c>
      <c r="O115" t="str">
        <f t="shared" si="98"/>
        <v/>
      </c>
      <c r="U115">
        <v>130</v>
      </c>
      <c r="V115">
        <v>1360</v>
      </c>
    </row>
    <row r="116">
      <c r="A116" s="3" t="s">
        <v>1184</v>
      </c>
      <c r="B116">
        <v>115</v>
      </c>
      <c r="E116">
        <v>1</v>
      </c>
      <c r="F116">
        <v>9.3661546305882339</v>
      </c>
      <c r="G116">
        <v>0.15459189306111246</v>
      </c>
      <c r="H116" s="141">
        <v>1800</v>
      </c>
      <c r="N116">
        <f t="shared" si="96"/>
        <v>9.3661546305882339</v>
      </c>
      <c r="O116" t="str">
        <f t="shared" si="98"/>
        <v/>
      </c>
      <c r="U116">
        <v>130</v>
      </c>
      <c r="V116">
        <v>1360</v>
      </c>
    </row>
    <row r="117">
      <c r="A117" s="3" t="s">
        <v>1185</v>
      </c>
      <c r="B117">
        <v>116</v>
      </c>
      <c r="E117">
        <v>1</v>
      </c>
      <c r="F117">
        <v>7.5176376937815128</v>
      </c>
      <c r="G117">
        <v>0.14544558849601327</v>
      </c>
      <c r="H117" s="141">
        <v>1800</v>
      </c>
      <c r="N117">
        <f t="shared" si="96"/>
        <v>7.5176376937815128</v>
      </c>
      <c r="O117" t="str">
        <f t="shared" si="98"/>
        <v/>
      </c>
      <c r="U117">
        <v>130</v>
      </c>
      <c r="V117">
        <v>1360</v>
      </c>
    </row>
    <row r="118">
      <c r="A118" s="3" t="s">
        <v>1186</v>
      </c>
      <c r="B118">
        <v>117</v>
      </c>
      <c r="E118">
        <v>1</v>
      </c>
      <c r="F118">
        <v>11.899611100840335</v>
      </c>
      <c r="G118">
        <v>0.1406989821298876</v>
      </c>
      <c r="H118" s="141">
        <v>1800</v>
      </c>
      <c r="N118">
        <f t="shared" si="96"/>
        <v>11.899611100840335</v>
      </c>
      <c r="O118" t="str">
        <f t="shared" si="98"/>
        <v/>
      </c>
      <c r="U118">
        <v>130</v>
      </c>
      <c r="V118">
        <v>1360</v>
      </c>
    </row>
    <row r="119">
      <c r="A119" s="3" t="s">
        <v>1187</v>
      </c>
      <c r="B119">
        <v>118</v>
      </c>
      <c r="E119">
        <v>1</v>
      </c>
      <c r="F119">
        <v>11.800039507899161</v>
      </c>
      <c r="G119">
        <v>0.13812316666757837</v>
      </c>
      <c r="H119" s="141">
        <v>1800</v>
      </c>
      <c r="N119">
        <f t="shared" si="96"/>
        <v>11.800039507899161</v>
      </c>
      <c r="O119" t="str">
        <f t="shared" si="98"/>
        <v/>
      </c>
      <c r="U119">
        <v>130</v>
      </c>
      <c r="V119">
        <v>1360</v>
      </c>
    </row>
    <row r="120">
      <c r="A120" s="3" t="s">
        <v>1188</v>
      </c>
      <c r="B120">
        <v>119</v>
      </c>
      <c r="E120">
        <v>1</v>
      </c>
      <c r="F120">
        <v>11.344151914957983</v>
      </c>
      <c r="G120">
        <v>0.19278437793221634</v>
      </c>
      <c r="H120" s="141">
        <v>1800</v>
      </c>
      <c r="N120">
        <f t="shared" si="96"/>
        <v>11.344151914957983</v>
      </c>
      <c r="O120" t="str">
        <f t="shared" si="98"/>
        <v/>
      </c>
      <c r="U120">
        <v>130</v>
      </c>
      <c r="V120">
        <v>1360</v>
      </c>
    </row>
    <row r="121">
      <c r="A121" s="3" t="s">
        <v>1189</v>
      </c>
      <c r="B121">
        <v>120</v>
      </c>
      <c r="E121">
        <v>1</v>
      </c>
      <c r="F121">
        <v>12.317727978151261</v>
      </c>
      <c r="G121">
        <v>0.14732582151793225</v>
      </c>
      <c r="H121" s="141">
        <v>1800</v>
      </c>
      <c r="N121">
        <f t="shared" si="96"/>
        <v>12.317727978151261</v>
      </c>
      <c r="O121" t="str">
        <f t="shared" si="98"/>
        <v/>
      </c>
      <c r="U121">
        <v>130</v>
      </c>
      <c r="V121">
        <v>1360</v>
      </c>
    </row>
    <row r="122">
      <c r="A122" s="3" t="s">
        <v>1190</v>
      </c>
      <c r="B122">
        <v>121</v>
      </c>
      <c r="E122">
        <v>1</v>
      </c>
      <c r="F122">
        <v>12.629811385210084</v>
      </c>
      <c r="G122">
        <v>0.13114358549021005</v>
      </c>
      <c r="H122" s="141">
        <v>1800</v>
      </c>
      <c r="N122">
        <f t="shared" si="96"/>
        <v>12.629811385210084</v>
      </c>
      <c r="O122" t="str">
        <f t="shared" si="98"/>
        <v/>
      </c>
      <c r="U122">
        <v>130</v>
      </c>
      <c r="V122">
        <v>1360</v>
      </c>
    </row>
    <row r="123">
      <c r="A123" s="3" t="s">
        <v>1191</v>
      </c>
      <c r="B123">
        <v>122</v>
      </c>
      <c r="E123">
        <v>1</v>
      </c>
      <c r="F123">
        <v>10.256505792268907</v>
      </c>
      <c r="G123">
        <v>0.14459533034913552</v>
      </c>
      <c r="H123" s="141">
        <v>1800</v>
      </c>
      <c r="N123">
        <f t="shared" si="96"/>
        <v>10.256505792268907</v>
      </c>
      <c r="O123" t="str">
        <f t="shared" si="98"/>
        <v/>
      </c>
      <c r="U123">
        <v>130</v>
      </c>
      <c r="V123">
        <v>1360</v>
      </c>
    </row>
    <row r="124">
      <c r="A124" s="3" t="s">
        <v>1192</v>
      </c>
      <c r="B124">
        <v>123</v>
      </c>
      <c r="E124">
        <v>1</v>
      </c>
      <c r="F124">
        <v>10.122695199327731</v>
      </c>
      <c r="G124">
        <v>0.12439240059307494</v>
      </c>
      <c r="H124" s="141">
        <v>1800</v>
      </c>
      <c r="N124">
        <f t="shared" si="96"/>
        <v>10.122695199327731</v>
      </c>
      <c r="O124" t="str">
        <f t="shared" si="98"/>
        <v/>
      </c>
      <c r="U124">
        <v>130</v>
      </c>
      <c r="V124">
        <v>1360</v>
      </c>
    </row>
    <row r="125">
      <c r="A125" s="3" t="s">
        <v>1193</v>
      </c>
      <c r="B125">
        <v>124</v>
      </c>
      <c r="C125" s="4">
        <f>C126+0.000023147</f>
        <v>6.8368700000000002e-05</v>
      </c>
      <c r="D125" s="4">
        <f t="shared" ref="D125:D126" si="103">C125/0.0000772254</f>
        <v>0.88531364033077209</v>
      </c>
      <c r="E125">
        <v>2</v>
      </c>
      <c r="F125">
        <v>16.108728606386553</v>
      </c>
      <c r="G125">
        <v>0.16010834782987934</v>
      </c>
      <c r="H125" s="141">
        <v>1800</v>
      </c>
      <c r="N125" t="str">
        <f t="shared" si="96"/>
        <v/>
      </c>
      <c r="O125">
        <f t="shared" si="98"/>
        <v>16.108728606386553</v>
      </c>
      <c r="U125">
        <v>130</v>
      </c>
      <c r="V125">
        <v>1360</v>
      </c>
    </row>
    <row r="126">
      <c r="A126" s="3" t="s">
        <v>1194</v>
      </c>
      <c r="B126">
        <v>125</v>
      </c>
      <c r="C126" s="4">
        <v>4.5221700000000001e-05</v>
      </c>
      <c r="D126" s="4">
        <f t="shared" si="103"/>
        <v>0.58558065092573175</v>
      </c>
      <c r="E126">
        <v>2</v>
      </c>
      <c r="F126">
        <v>17.768220669579833</v>
      </c>
      <c r="G126">
        <v>0.16617685733506343</v>
      </c>
      <c r="H126" s="141">
        <v>1800</v>
      </c>
      <c r="N126" t="str">
        <f t="shared" si="96"/>
        <v/>
      </c>
      <c r="O126">
        <f t="shared" si="98"/>
        <v>17.768220669579833</v>
      </c>
      <c r="U126">
        <v>130</v>
      </c>
      <c r="V126">
        <v>1360</v>
      </c>
    </row>
    <row r="127">
      <c r="A127" s="3" t="s">
        <v>1195</v>
      </c>
      <c r="B127">
        <v>126</v>
      </c>
      <c r="E127">
        <v>1</v>
      </c>
      <c r="F127">
        <v>6.9265695266386551</v>
      </c>
      <c r="G127">
        <v>0.16642261575791925</v>
      </c>
      <c r="H127" s="141">
        <v>1800</v>
      </c>
      <c r="N127">
        <f t="shared" si="96"/>
        <v>6.9265695266386551</v>
      </c>
      <c r="O127" t="str">
        <f t="shared" si="98"/>
        <v/>
      </c>
      <c r="U127">
        <v>130</v>
      </c>
      <c r="V127">
        <v>1360</v>
      </c>
    </row>
    <row r="128">
      <c r="A128" s="3" t="s">
        <v>1196</v>
      </c>
      <c r="B128">
        <v>127</v>
      </c>
      <c r="E128">
        <v>1</v>
      </c>
      <c r="F128">
        <v>6.9209507136974784</v>
      </c>
      <c r="G128">
        <v>0.14890741793245099</v>
      </c>
      <c r="H128" s="141">
        <v>1800</v>
      </c>
      <c r="N128">
        <f t="shared" si="96"/>
        <v>6.9209507136974784</v>
      </c>
      <c r="O128" t="str">
        <f t="shared" si="98"/>
        <v/>
      </c>
      <c r="U128">
        <v>130</v>
      </c>
      <c r="V128">
        <v>1360</v>
      </c>
    </row>
    <row r="129">
      <c r="A129" s="3" t="s">
        <v>1197</v>
      </c>
      <c r="B129">
        <v>128</v>
      </c>
      <c r="E129">
        <v>1</v>
      </c>
      <c r="F129">
        <v>5.7901398907563024</v>
      </c>
      <c r="G129">
        <v>0.13861055442038903</v>
      </c>
      <c r="H129" s="141">
        <v>1800</v>
      </c>
      <c r="N129">
        <f t="shared" si="96"/>
        <v>5.7901398907563024</v>
      </c>
      <c r="O129" t="str">
        <f t="shared" si="98"/>
        <v/>
      </c>
      <c r="U129">
        <v>130</v>
      </c>
      <c r="V129">
        <v>1360</v>
      </c>
    </row>
    <row r="130">
      <c r="A130" s="3" t="s">
        <v>1198</v>
      </c>
      <c r="B130">
        <v>129</v>
      </c>
      <c r="E130">
        <v>1</v>
      </c>
      <c r="F130">
        <v>8.1563772978151263</v>
      </c>
      <c r="G130">
        <v>0.16639933582825511</v>
      </c>
      <c r="H130" s="141">
        <v>1800</v>
      </c>
      <c r="N130">
        <f t="shared" ref="N130:N144" si="104">IF(E130=1,F130,"")</f>
        <v>8.1563772978151263</v>
      </c>
      <c r="O130" t="str">
        <f t="shared" si="98"/>
        <v/>
      </c>
      <c r="U130">
        <v>130</v>
      </c>
      <c r="V130">
        <v>1360</v>
      </c>
    </row>
    <row r="131">
      <c r="A131" s="3" t="s">
        <v>1199</v>
      </c>
      <c r="B131">
        <v>130</v>
      </c>
      <c r="E131">
        <v>1</v>
      </c>
      <c r="F131">
        <v>5.2692527048739493</v>
      </c>
      <c r="G131">
        <v>0.14702796471279342</v>
      </c>
      <c r="H131" s="141">
        <v>1800</v>
      </c>
      <c r="N131">
        <f t="shared" si="104"/>
        <v>5.2692527048739493</v>
      </c>
      <c r="O131" t="str">
        <f t="shared" ref="O131:O144" si="105">IF(E131=2,F131,"")</f>
        <v/>
      </c>
      <c r="U131">
        <v>130</v>
      </c>
      <c r="V131">
        <v>1360</v>
      </c>
    </row>
    <row r="132">
      <c r="A132" s="3" t="s">
        <v>1200</v>
      </c>
      <c r="B132">
        <v>131</v>
      </c>
      <c r="E132">
        <v>1</v>
      </c>
      <c r="F132">
        <v>7.8516787680672264</v>
      </c>
      <c r="G132">
        <v>0.15118115739106389</v>
      </c>
      <c r="H132" s="141">
        <v>1800</v>
      </c>
      <c r="N132">
        <f t="shared" si="104"/>
        <v>7.8516787680672264</v>
      </c>
      <c r="O132" t="str">
        <f t="shared" si="105"/>
        <v/>
      </c>
      <c r="U132">
        <v>130</v>
      </c>
      <c r="V132">
        <v>1360</v>
      </c>
    </row>
    <row r="133">
      <c r="A133" s="3" t="s">
        <v>1201</v>
      </c>
      <c r="B133">
        <v>132</v>
      </c>
      <c r="E133">
        <v>1</v>
      </c>
      <c r="F133">
        <v>12.90551517512605</v>
      </c>
      <c r="G133">
        <v>0.15928026401974485</v>
      </c>
      <c r="H133" s="141">
        <v>1800</v>
      </c>
      <c r="N133">
        <f t="shared" si="104"/>
        <v>12.90551517512605</v>
      </c>
      <c r="O133" t="str">
        <f t="shared" si="105"/>
        <v/>
      </c>
      <c r="U133">
        <v>130</v>
      </c>
      <c r="V133">
        <v>1360</v>
      </c>
    </row>
    <row r="134">
      <c r="A134" s="3" t="s">
        <v>1202</v>
      </c>
      <c r="B134">
        <v>133</v>
      </c>
      <c r="E134">
        <v>1</v>
      </c>
      <c r="F134">
        <v>11.957144582184874</v>
      </c>
      <c r="G134">
        <v>0.14189521819948561</v>
      </c>
      <c r="H134" s="141">
        <v>1800</v>
      </c>
      <c r="N134">
        <f t="shared" si="104"/>
        <v>11.957144582184874</v>
      </c>
      <c r="O134" t="str">
        <f t="shared" si="105"/>
        <v/>
      </c>
      <c r="U134">
        <v>130</v>
      </c>
      <c r="V134">
        <v>1360</v>
      </c>
    </row>
    <row r="135">
      <c r="A135" s="3" t="s">
        <v>1203</v>
      </c>
      <c r="B135">
        <v>134</v>
      </c>
      <c r="E135">
        <v>1</v>
      </c>
      <c r="F135">
        <v>13.779884989243698</v>
      </c>
      <c r="G135">
        <v>0.13044343959474555</v>
      </c>
      <c r="H135" s="141">
        <v>1800</v>
      </c>
      <c r="N135">
        <f t="shared" si="104"/>
        <v>13.779884989243698</v>
      </c>
      <c r="O135" t="str">
        <f t="shared" si="105"/>
        <v/>
      </c>
      <c r="U135">
        <v>130</v>
      </c>
      <c r="V135">
        <v>1360</v>
      </c>
    </row>
    <row r="136">
      <c r="A136" s="3" t="s">
        <v>1204</v>
      </c>
      <c r="B136">
        <v>135</v>
      </c>
      <c r="C136" s="4">
        <v>3.4115000000000001e-05</v>
      </c>
      <c r="D136" s="4">
        <f>C136/(C136*1.42)</f>
        <v>0.70422535211267612</v>
      </c>
      <c r="E136">
        <v>2</v>
      </c>
      <c r="F136">
        <v>20.951120396302521</v>
      </c>
      <c r="G136">
        <v>0.12456377015382776</v>
      </c>
      <c r="H136" s="141">
        <v>1800</v>
      </c>
      <c r="N136" t="str">
        <f t="shared" si="104"/>
        <v/>
      </c>
      <c r="O136">
        <f t="shared" si="105"/>
        <v>20.951120396302521</v>
      </c>
      <c r="U136">
        <v>130</v>
      </c>
      <c r="V136">
        <v>1360</v>
      </c>
    </row>
    <row r="137">
      <c r="A137" s="3" t="s">
        <v>1205</v>
      </c>
      <c r="B137">
        <v>136</v>
      </c>
      <c r="E137">
        <v>1</v>
      </c>
      <c r="F137">
        <v>10.665378459495798</v>
      </c>
      <c r="G137">
        <v>0.20423801400802061</v>
      </c>
      <c r="H137" s="141">
        <v>1800</v>
      </c>
      <c r="N137">
        <f t="shared" si="104"/>
        <v>10.665378459495798</v>
      </c>
      <c r="O137" t="str">
        <f t="shared" si="105"/>
        <v/>
      </c>
      <c r="U137">
        <v>130</v>
      </c>
      <c r="V137">
        <v>1360</v>
      </c>
    </row>
    <row r="138">
      <c r="A138" s="3" t="s">
        <v>1206</v>
      </c>
      <c r="B138">
        <v>137</v>
      </c>
      <c r="E138">
        <v>1</v>
      </c>
      <c r="F138">
        <v>12.943840866554622</v>
      </c>
      <c r="G138">
        <v>0.1369539264065037</v>
      </c>
      <c r="H138" s="141">
        <v>1800</v>
      </c>
      <c r="N138">
        <f t="shared" si="104"/>
        <v>12.943840866554622</v>
      </c>
      <c r="O138" t="str">
        <f t="shared" si="105"/>
        <v/>
      </c>
      <c r="U138">
        <v>130</v>
      </c>
      <c r="V138">
        <v>1360</v>
      </c>
    </row>
    <row r="139">
      <c r="A139" s="3" t="s">
        <v>1207</v>
      </c>
      <c r="B139">
        <v>138</v>
      </c>
      <c r="E139">
        <v>1</v>
      </c>
      <c r="F139">
        <v>11.367160273613447</v>
      </c>
      <c r="G139">
        <v>0.16378296600855058</v>
      </c>
      <c r="H139" s="141">
        <v>1800</v>
      </c>
      <c r="N139">
        <f t="shared" si="104"/>
        <v>11.367160273613447</v>
      </c>
      <c r="O139" t="str">
        <f t="shared" si="105"/>
        <v/>
      </c>
      <c r="U139">
        <v>130</v>
      </c>
      <c r="V139">
        <v>1360</v>
      </c>
    </row>
    <row r="140">
      <c r="A140" s="3" t="s">
        <v>1208</v>
      </c>
      <c r="B140">
        <v>139</v>
      </c>
      <c r="E140">
        <v>1</v>
      </c>
      <c r="F140">
        <v>10.61646168067227</v>
      </c>
      <c r="G140">
        <v>0.18459713528357266</v>
      </c>
      <c r="H140" s="141">
        <v>1800</v>
      </c>
      <c r="N140">
        <f t="shared" si="104"/>
        <v>10.61646168067227</v>
      </c>
      <c r="O140" t="str">
        <f t="shared" si="105"/>
        <v/>
      </c>
      <c r="U140">
        <v>130</v>
      </c>
      <c r="V140">
        <v>1360</v>
      </c>
    </row>
    <row r="141">
      <c r="A141" s="3" t="s">
        <v>1209</v>
      </c>
      <c r="B141">
        <v>140</v>
      </c>
      <c r="E141">
        <v>1</v>
      </c>
      <c r="F141">
        <v>11.106561087731093</v>
      </c>
      <c r="G141">
        <v>0.15448854656763533</v>
      </c>
      <c r="H141" s="141">
        <v>1800</v>
      </c>
      <c r="N141">
        <f t="shared" si="104"/>
        <v>11.106561087731093</v>
      </c>
      <c r="O141" t="str">
        <f t="shared" si="105"/>
        <v/>
      </c>
      <c r="U141">
        <v>130</v>
      </c>
      <c r="V141">
        <v>1360</v>
      </c>
    </row>
    <row r="142">
      <c r="A142" s="3" t="s">
        <v>1210</v>
      </c>
      <c r="B142">
        <v>141</v>
      </c>
      <c r="C142" s="4">
        <v>2.8661420000000001e-05</v>
      </c>
      <c r="D142" s="4">
        <f t="shared" ref="D142:D145" si="106">C142/0.0000585</f>
        <v>0.48993880341880347</v>
      </c>
      <c r="E142">
        <v>2</v>
      </c>
      <c r="F142">
        <v>17.45365915092437</v>
      </c>
      <c r="G142">
        <v>0.14549789798103074</v>
      </c>
      <c r="H142" s="141">
        <v>1800</v>
      </c>
      <c r="N142" t="str">
        <f t="shared" si="104"/>
        <v/>
      </c>
      <c r="O142">
        <f t="shared" si="105"/>
        <v>17.45365915092437</v>
      </c>
      <c r="U142">
        <v>130</v>
      </c>
      <c r="V142">
        <v>1360</v>
      </c>
    </row>
    <row r="143">
      <c r="A143" s="3" t="s">
        <v>1211</v>
      </c>
      <c r="B143">
        <v>142</v>
      </c>
      <c r="C143" s="4">
        <f>C142+0.00001823</f>
        <v>4.6891419999999998e-05</v>
      </c>
      <c r="D143" s="4">
        <f t="shared" si="106"/>
        <v>0.80156273504273501</v>
      </c>
      <c r="E143">
        <v>2</v>
      </c>
      <c r="F143">
        <v>14.564221557983192</v>
      </c>
      <c r="G143">
        <v>0.14811664227546487</v>
      </c>
      <c r="H143" s="141">
        <v>1800</v>
      </c>
      <c r="N143" t="str">
        <f t="shared" si="104"/>
        <v/>
      </c>
      <c r="O143">
        <f t="shared" si="105"/>
        <v>14.564221557983192</v>
      </c>
      <c r="U143">
        <v>130</v>
      </c>
      <c r="V143">
        <v>1360</v>
      </c>
    </row>
    <row r="144">
      <c r="A144" s="3" t="s">
        <v>1212</v>
      </c>
      <c r="B144">
        <v>143</v>
      </c>
      <c r="C144" s="4">
        <f>0.0000312677</f>
        <v>3.1267699999999999e-05</v>
      </c>
      <c r="D144" s="4">
        <f t="shared" si="106"/>
        <v>0.53449059829059831</v>
      </c>
      <c r="E144">
        <v>2</v>
      </c>
      <c r="F144">
        <v>16.425794965042016</v>
      </c>
      <c r="G144">
        <v>0.141825540731606</v>
      </c>
      <c r="H144" s="141">
        <v>1800</v>
      </c>
      <c r="N144" t="str">
        <f t="shared" si="104"/>
        <v/>
      </c>
      <c r="O144">
        <f t="shared" si="105"/>
        <v>16.425794965042016</v>
      </c>
      <c r="U144">
        <v>130</v>
      </c>
      <c r="V144">
        <v>1360</v>
      </c>
    </row>
    <row r="145">
      <c r="A145" s="3" t="s">
        <v>1213</v>
      </c>
      <c r="B145">
        <v>144</v>
      </c>
      <c r="C145" s="4">
        <f>C144+0.00001823</f>
        <v>4.9497699999999999e-05</v>
      </c>
      <c r="D145" s="4">
        <f t="shared" si="106"/>
        <v>0.84611452991452996</v>
      </c>
      <c r="E145">
        <v>2</v>
      </c>
      <c r="F145">
        <v>15.020548372100841</v>
      </c>
      <c r="G145">
        <v>0.14444149752263175</v>
      </c>
      <c r="H145" s="141">
        <v>1800</v>
      </c>
      <c r="U145">
        <v>130</v>
      </c>
      <c r="V145">
        <v>1360</v>
      </c>
    </row>
    <row r="146">
      <c r="A146" s="3" t="s">
        <v>1214</v>
      </c>
      <c r="B146">
        <v>145</v>
      </c>
      <c r="E146">
        <v>1</v>
      </c>
      <c r="F146">
        <v>12.285069779159663</v>
      </c>
      <c r="G146">
        <v>0.10209543327953327</v>
      </c>
      <c r="H146" s="141">
        <v>1800</v>
      </c>
      <c r="U146">
        <v>130</v>
      </c>
      <c r="V146">
        <v>1360</v>
      </c>
    </row>
    <row r="147">
      <c r="A147" s="3" t="s">
        <v>1215</v>
      </c>
      <c r="B147">
        <v>146</v>
      </c>
      <c r="E147">
        <v>1</v>
      </c>
      <c r="F147">
        <v>13.44850884235294</v>
      </c>
      <c r="G147">
        <v>0.13834312858219028</v>
      </c>
      <c r="H147" s="141">
        <v>1800</v>
      </c>
      <c r="U147">
        <v>130</v>
      </c>
      <c r="V147">
        <v>1360</v>
      </c>
    </row>
    <row r="148">
      <c r="A148" s="3" t="s">
        <v>1216</v>
      </c>
      <c r="B148">
        <v>147</v>
      </c>
      <c r="E148">
        <v>1</v>
      </c>
      <c r="F148">
        <v>14.000105249411764</v>
      </c>
      <c r="G148">
        <v>0.13324311077658624</v>
      </c>
      <c r="H148" s="141">
        <v>1800</v>
      </c>
      <c r="U148">
        <v>130</v>
      </c>
      <c r="V148">
        <v>1360</v>
      </c>
    </row>
    <row r="149">
      <c r="A149" s="3" t="s">
        <v>1217</v>
      </c>
      <c r="B149">
        <v>148</v>
      </c>
      <c r="E149">
        <v>1</v>
      </c>
      <c r="F149">
        <v>14.645334656470588</v>
      </c>
      <c r="G149">
        <v>0.16218397024210632</v>
      </c>
      <c r="H149" s="141">
        <v>1800</v>
      </c>
      <c r="U149">
        <v>130</v>
      </c>
      <c r="V149">
        <v>1360</v>
      </c>
    </row>
    <row r="150">
      <c r="A150" s="3" t="s">
        <v>1218</v>
      </c>
      <c r="B150">
        <v>149</v>
      </c>
      <c r="E150">
        <v>1</v>
      </c>
      <c r="F150">
        <v>14.344530063529412</v>
      </c>
      <c r="G150">
        <v>0.14412281811464842</v>
      </c>
      <c r="H150" s="141">
        <v>1800</v>
      </c>
      <c r="U150">
        <v>130</v>
      </c>
      <c r="V150">
        <v>1360</v>
      </c>
    </row>
    <row r="151">
      <c r="A151" s="3" t="s">
        <v>1219</v>
      </c>
      <c r="B151">
        <v>150</v>
      </c>
      <c r="C151" s="4">
        <v>6.3220999999999997e-05</v>
      </c>
      <c r="D151" s="4">
        <f t="shared" ref="D151:D153" si="107">C151/0.000072</f>
        <v>0.87806944444444435</v>
      </c>
      <c r="E151">
        <v>2</v>
      </c>
      <c r="F151">
        <v>15.981685470588236</v>
      </c>
      <c r="G151">
        <v>0.10743792656463558</v>
      </c>
      <c r="H151" s="141">
        <v>1800</v>
      </c>
      <c r="U151">
        <v>130</v>
      </c>
      <c r="V151">
        <v>1360</v>
      </c>
    </row>
    <row r="152">
      <c r="A152" s="3" t="s">
        <v>1220</v>
      </c>
      <c r="B152">
        <v>151</v>
      </c>
      <c r="C152" s="4">
        <v>5.644221e-05</v>
      </c>
      <c r="D152" s="4">
        <f t="shared" si="107"/>
        <v>0.78391958333333334</v>
      </c>
      <c r="E152">
        <v>2</v>
      </c>
      <c r="F152">
        <v>16.150394533781512</v>
      </c>
      <c r="G152">
        <v>0.13920477513523891</v>
      </c>
      <c r="H152" s="141">
        <v>1800</v>
      </c>
      <c r="U152">
        <v>130</v>
      </c>
      <c r="V152">
        <v>1360</v>
      </c>
    </row>
    <row r="153">
      <c r="A153" s="3" t="s">
        <v>1221</v>
      </c>
      <c r="B153">
        <v>152</v>
      </c>
      <c r="C153" s="4">
        <v>3.5886999999999997e-05</v>
      </c>
      <c r="D153" s="4">
        <f t="shared" si="107"/>
        <v>0.49843055555555549</v>
      </c>
      <c r="E153">
        <v>2</v>
      </c>
      <c r="F153">
        <v>17.964877940840339</v>
      </c>
      <c r="G153">
        <v>0.15923732510330493</v>
      </c>
      <c r="H153" s="141">
        <v>1800</v>
      </c>
      <c r="U153">
        <v>130</v>
      </c>
      <c r="V153">
        <v>1360</v>
      </c>
    </row>
    <row r="154">
      <c r="A154" s="3" t="s">
        <v>1222</v>
      </c>
      <c r="B154">
        <v>153</v>
      </c>
      <c r="E154">
        <v>1</v>
      </c>
      <c r="F154">
        <v>12.63558234789916</v>
      </c>
      <c r="G154">
        <v>0.14533603248181928</v>
      </c>
      <c r="H154" s="141">
        <v>1800</v>
      </c>
      <c r="U154">
        <v>130</v>
      </c>
      <c r="V154">
        <v>1360</v>
      </c>
    </row>
    <row r="155">
      <c r="A155" s="3" t="s">
        <v>1223</v>
      </c>
      <c r="B155">
        <v>154</v>
      </c>
      <c r="E155">
        <v>1</v>
      </c>
      <c r="F155">
        <v>13.947567754957984</v>
      </c>
      <c r="G155">
        <v>0.16483405241547644</v>
      </c>
      <c r="H155" s="141">
        <v>1800</v>
      </c>
      <c r="U155">
        <v>130</v>
      </c>
      <c r="V155">
        <v>1360</v>
      </c>
    </row>
    <row r="156">
      <c r="A156" s="3" t="s">
        <v>1224</v>
      </c>
      <c r="B156">
        <v>155</v>
      </c>
      <c r="E156">
        <v>1</v>
      </c>
      <c r="F156">
        <v>14.355205162016807</v>
      </c>
      <c r="G156">
        <v>0.18666183180715451</v>
      </c>
      <c r="H156" s="141">
        <v>1800</v>
      </c>
      <c r="U156">
        <v>130</v>
      </c>
      <c r="V156">
        <v>1360</v>
      </c>
    </row>
    <row r="157">
      <c r="A157" s="3" t="s">
        <v>1225</v>
      </c>
      <c r="B157">
        <v>156</v>
      </c>
      <c r="E157">
        <v>1</v>
      </c>
      <c r="F157">
        <v>12.153580225210083</v>
      </c>
      <c r="G157">
        <v>0.19462447113011364</v>
      </c>
      <c r="H157" s="141">
        <v>1800</v>
      </c>
      <c r="U157">
        <v>130</v>
      </c>
      <c r="V157">
        <v>1360</v>
      </c>
    </row>
    <row r="158">
      <c r="A158" s="3" t="s">
        <v>1226</v>
      </c>
      <c r="B158">
        <v>157</v>
      </c>
      <c r="E158">
        <v>1</v>
      </c>
      <c r="F158">
        <v>11.407782632268907</v>
      </c>
      <c r="G158">
        <v>0.17452452491978893</v>
      </c>
      <c r="H158" s="141">
        <v>1800</v>
      </c>
      <c r="U158">
        <v>130</v>
      </c>
      <c r="V158">
        <v>1360</v>
      </c>
    </row>
    <row r="159">
      <c r="A159" s="3" t="s">
        <v>1227</v>
      </c>
      <c r="B159">
        <v>158</v>
      </c>
      <c r="E159">
        <v>1</v>
      </c>
      <c r="F159">
        <v>15.344117039327731</v>
      </c>
      <c r="G159">
        <v>0.2437565324377339</v>
      </c>
      <c r="H159" s="141">
        <v>1800</v>
      </c>
      <c r="U159">
        <v>130</v>
      </c>
      <c r="V159">
        <v>1360</v>
      </c>
    </row>
    <row r="160">
      <c r="A160" s="3" t="s">
        <v>1228</v>
      </c>
      <c r="B160">
        <v>159</v>
      </c>
      <c r="E160">
        <v>1</v>
      </c>
      <c r="F160">
        <v>8.4702364463865543</v>
      </c>
      <c r="G160">
        <v>0.19245861312361065</v>
      </c>
      <c r="H160" s="141">
        <v>1800</v>
      </c>
      <c r="U160">
        <v>130</v>
      </c>
      <c r="V160">
        <v>1360</v>
      </c>
    </row>
    <row r="161">
      <c r="A161" s="3" t="s">
        <v>1229</v>
      </c>
      <c r="B161">
        <v>160</v>
      </c>
      <c r="C161" s="4">
        <v>4.7122e-05</v>
      </c>
      <c r="D161" s="4">
        <f t="shared" ref="D161:D164" si="108">C161/0.00006537</f>
        <v>0.72085054306256691</v>
      </c>
      <c r="E161">
        <v>2</v>
      </c>
      <c r="F161">
        <v>15.964788853445377</v>
      </c>
      <c r="G161">
        <v>0.18574083581551049</v>
      </c>
      <c r="H161" s="141">
        <v>1800</v>
      </c>
      <c r="U161">
        <v>130</v>
      </c>
      <c r="V161">
        <v>1360</v>
      </c>
    </row>
    <row r="162">
      <c r="A162" s="3" t="s">
        <v>1230</v>
      </c>
      <c r="B162">
        <v>161</v>
      </c>
      <c r="C162" s="4">
        <v>5.622e-05</v>
      </c>
      <c r="D162" s="4">
        <f t="shared" si="108"/>
        <v>0.86002753556677369</v>
      </c>
      <c r="E162">
        <v>2</v>
      </c>
      <c r="F162">
        <v>15.354253260504201</v>
      </c>
      <c r="G162">
        <v>0.17477370600224174</v>
      </c>
      <c r="H162" s="141">
        <v>1800</v>
      </c>
      <c r="U162">
        <v>130</v>
      </c>
      <c r="V162">
        <v>1360</v>
      </c>
    </row>
    <row r="163">
      <c r="A163" s="3" t="s">
        <v>1231</v>
      </c>
      <c r="B163">
        <v>162</v>
      </c>
      <c r="C163" s="4">
        <v>3.3667999999999997e-05</v>
      </c>
      <c r="D163" s="4">
        <f t="shared" si="108"/>
        <v>0.51503747896588636</v>
      </c>
      <c r="E163">
        <v>2</v>
      </c>
      <c r="F163">
        <v>16.085681323697479</v>
      </c>
      <c r="G163">
        <v>0.17443266775265931</v>
      </c>
      <c r="H163" s="141">
        <v>1800</v>
      </c>
      <c r="U163">
        <v>130</v>
      </c>
      <c r="V163">
        <v>1360</v>
      </c>
    </row>
    <row r="164">
      <c r="A164" s="3" t="s">
        <v>1232</v>
      </c>
      <c r="B164">
        <v>163</v>
      </c>
      <c r="C164" s="4">
        <v>5.2299999999999997e-05</v>
      </c>
      <c r="D164" s="4">
        <f t="shared" si="108"/>
        <v>0.80006119014838595</v>
      </c>
      <c r="E164">
        <v>2</v>
      </c>
      <c r="F164">
        <v>15.455660730756303</v>
      </c>
      <c r="G164">
        <v>0.16120380206968579</v>
      </c>
      <c r="H164" s="141">
        <v>1800</v>
      </c>
      <c r="U164">
        <v>130</v>
      </c>
      <c r="V164">
        <v>1360</v>
      </c>
    </row>
    <row r="165">
      <c r="A165" s="3" t="s">
        <v>1233</v>
      </c>
      <c r="B165">
        <v>164</v>
      </c>
      <c r="E165">
        <v>1</v>
      </c>
      <c r="F165">
        <v>9.7291931378151268</v>
      </c>
      <c r="G165">
        <v>0.24708455509413782</v>
      </c>
      <c r="H165" s="141">
        <v>1800</v>
      </c>
      <c r="U165">
        <v>130</v>
      </c>
      <c r="V165">
        <v>1360</v>
      </c>
    </row>
    <row r="166">
      <c r="A166" s="3" t="s">
        <v>1234</v>
      </c>
      <c r="B166">
        <v>165</v>
      </c>
      <c r="E166">
        <v>1</v>
      </c>
      <c r="F166">
        <v>13.324652544873949</v>
      </c>
      <c r="G166">
        <v>0.20078646588729041</v>
      </c>
      <c r="H166" s="141">
        <v>1800</v>
      </c>
      <c r="U166">
        <v>130</v>
      </c>
      <c r="V166">
        <v>1360</v>
      </c>
    </row>
    <row r="167">
      <c r="A167" s="3" t="s">
        <v>1235</v>
      </c>
      <c r="B167">
        <v>166</v>
      </c>
      <c r="C167" s="4">
        <v>4.35e-05</v>
      </c>
      <c r="D167" s="4">
        <f>C167*1.8/0.0001</f>
        <v>0.78300000000000003</v>
      </c>
      <c r="E167">
        <v>2</v>
      </c>
      <c r="F167">
        <v>19.367289951932772</v>
      </c>
      <c r="G167">
        <v>0.18179566927671195</v>
      </c>
      <c r="H167" s="141">
        <v>1800</v>
      </c>
      <c r="U167">
        <v>130</v>
      </c>
      <c r="V167">
        <v>1360</v>
      </c>
    </row>
    <row r="168">
      <c r="A168" s="3" t="s">
        <v>1236</v>
      </c>
      <c r="B168">
        <v>167</v>
      </c>
      <c r="E168">
        <v>1</v>
      </c>
      <c r="F168">
        <v>14.11232201512605</v>
      </c>
      <c r="G168">
        <v>0.1549405594441508</v>
      </c>
      <c r="H168" s="141">
        <v>1800</v>
      </c>
      <c r="U168">
        <v>130</v>
      </c>
      <c r="V168">
        <v>1360</v>
      </c>
    </row>
    <row r="169">
      <c r="A169" s="3" t="s">
        <v>1237</v>
      </c>
      <c r="B169">
        <v>168</v>
      </c>
      <c r="E169">
        <v>1</v>
      </c>
      <c r="F169">
        <v>13.863951422184874</v>
      </c>
      <c r="G169">
        <v>0.18608662152459116</v>
      </c>
      <c r="H169" s="141">
        <v>1800</v>
      </c>
      <c r="U169">
        <v>130</v>
      </c>
      <c r="V169">
        <v>1360</v>
      </c>
    </row>
    <row r="170">
      <c r="A170" s="3" t="s">
        <v>1238</v>
      </c>
      <c r="B170">
        <v>169</v>
      </c>
      <c r="E170">
        <v>1</v>
      </c>
      <c r="F170">
        <v>13.129788829243697</v>
      </c>
      <c r="G170">
        <v>0.13548988075544399</v>
      </c>
      <c r="H170" s="141">
        <v>1800</v>
      </c>
      <c r="U170">
        <v>130</v>
      </c>
      <c r="V170">
        <v>1360</v>
      </c>
    </row>
    <row r="171">
      <c r="A171" s="3" t="s">
        <v>1239</v>
      </c>
      <c r="B171">
        <v>170</v>
      </c>
      <c r="E171">
        <v>1</v>
      </c>
      <c r="F171">
        <v>13.111625236302521</v>
      </c>
      <c r="G171">
        <v>0.15443065517917107</v>
      </c>
      <c r="H171" s="141">
        <v>1800</v>
      </c>
      <c r="U171">
        <v>130</v>
      </c>
      <c r="V171">
        <v>1360</v>
      </c>
    </row>
  </sheetData>
  <hyperlinks>
    <hyperlink r:id="rId1" ref="A2"/>
    <hyperlink r:id="rId1" ref="A3:A171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28" activeCellId="0" sqref="F28"/>
    </sheetView>
  </sheetViews>
  <sheetFormatPr baseColWidth="10" defaultRowHeight="15"/>
  <sheetData>
    <row r="1">
      <c r="A1" t="s">
        <v>1068</v>
      </c>
      <c r="B1" t="s">
        <v>1240</v>
      </c>
      <c r="C1" t="s">
        <v>1241</v>
      </c>
      <c r="D1" t="s">
        <v>296</v>
      </c>
      <c r="E1" t="s">
        <v>297</v>
      </c>
      <c r="F1" t="s">
        <v>1242</v>
      </c>
      <c r="G1" t="s">
        <v>306</v>
      </c>
      <c r="H1" t="s">
        <v>300</v>
      </c>
      <c r="I1" t="s">
        <v>301</v>
      </c>
      <c r="J1" t="s">
        <v>302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310</v>
      </c>
      <c r="V1" t="s">
        <v>300</v>
      </c>
    </row>
    <row r="2">
      <c r="A2" t="s">
        <v>1243</v>
      </c>
      <c r="B2">
        <v>1</v>
      </c>
      <c r="E2">
        <v>1</v>
      </c>
      <c r="F2">
        <v>12.270596000000001</v>
      </c>
      <c r="G2">
        <v>0.062308780000000001</v>
      </c>
      <c r="H2">
        <v>1700</v>
      </c>
      <c r="I2">
        <v>2</v>
      </c>
      <c r="J2">
        <v>2</v>
      </c>
      <c r="N2">
        <f t="shared" ref="N2:N65" si="109">IF(E2=1,F2,"")</f>
        <v>12.270596000000001</v>
      </c>
      <c r="O2" t="str">
        <f t="shared" ref="O2:O65" si="110">IF(E2=2,F2,"")</f>
        <v/>
      </c>
      <c r="P2">
        <f>AVERAGE(G2,G4,G7)</f>
        <v>0.060512039999999996</v>
      </c>
      <c r="Q2">
        <f>MIN(N2:N200)</f>
        <v>9.2441700000000004</v>
      </c>
      <c r="R2">
        <f>AVERAGE(N2:N200)</f>
        <v>10.89978425</v>
      </c>
      <c r="S2">
        <f>MAX(N2:N200)</f>
        <v>12.270596000000001</v>
      </c>
      <c r="T2">
        <f>COUNT(N2:N124)</f>
        <v>4</v>
      </c>
      <c r="U2">
        <v>120</v>
      </c>
      <c r="V2">
        <v>-100</v>
      </c>
    </row>
    <row r="3">
      <c r="A3" t="s">
        <v>1244</v>
      </c>
      <c r="B3">
        <v>2</v>
      </c>
      <c r="C3" s="4">
        <v>0.00010768161746231101</v>
      </c>
      <c r="D3" s="4">
        <v>0.76915441044507871</v>
      </c>
      <c r="E3">
        <v>2</v>
      </c>
      <c r="F3">
        <v>18.717607000000001</v>
      </c>
      <c r="G3">
        <v>0.050081580000000001</v>
      </c>
      <c r="H3">
        <v>1700</v>
      </c>
      <c r="I3">
        <v>5</v>
      </c>
      <c r="J3">
        <v>5</v>
      </c>
      <c r="N3" t="str">
        <f t="shared" si="109"/>
        <v/>
      </c>
      <c r="O3">
        <f t="shared" si="110"/>
        <v>18.717607000000001</v>
      </c>
      <c r="U3">
        <v>120</v>
      </c>
      <c r="V3">
        <v>-100</v>
      </c>
    </row>
    <row r="4">
      <c r="A4" t="s">
        <v>1245</v>
      </c>
      <c r="B4">
        <v>3</v>
      </c>
      <c r="E4">
        <v>1</v>
      </c>
      <c r="F4">
        <v>10.021236999999999</v>
      </c>
      <c r="G4">
        <v>0.062396880000000002</v>
      </c>
      <c r="H4">
        <v>1700</v>
      </c>
      <c r="N4">
        <f t="shared" si="109"/>
        <v>10.021236999999999</v>
      </c>
      <c r="O4" t="str">
        <f t="shared" si="110"/>
        <v/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120</v>
      </c>
      <c r="V4">
        <v>-100</v>
      </c>
    </row>
    <row r="5">
      <c r="A5" t="s">
        <v>1246</v>
      </c>
      <c r="B5">
        <v>4</v>
      </c>
      <c r="E5">
        <v>1</v>
      </c>
      <c r="F5">
        <v>12.063134</v>
      </c>
      <c r="G5">
        <v>0.051239880000000002</v>
      </c>
      <c r="H5">
        <v>1700</v>
      </c>
      <c r="N5">
        <f t="shared" si="109"/>
        <v>12.063134</v>
      </c>
      <c r="O5" t="str">
        <f t="shared" si="110"/>
        <v/>
      </c>
      <c r="P5">
        <f>AVERAGE(G2:G10,G12,G14:G16,G18:G22)</f>
        <v>0.055871988333333344</v>
      </c>
      <c r="Q5">
        <f>MIN(O2:O200)</f>
        <v>18.717607000000001</v>
      </c>
      <c r="R5">
        <f>AVERAGE(O2:O200)</f>
        <v>18.882056500000001</v>
      </c>
      <c r="S5">
        <f>MAX(O2:O200)</f>
        <v>19.046506000000001</v>
      </c>
      <c r="T5">
        <f>COUNT(O2:O124)</f>
        <v>2</v>
      </c>
      <c r="U5">
        <v>120</v>
      </c>
      <c r="V5">
        <v>-100</v>
      </c>
    </row>
    <row r="6">
      <c r="A6" t="s">
        <v>1247</v>
      </c>
      <c r="B6">
        <v>5</v>
      </c>
      <c r="C6" s="4">
        <v>7.9883183193951607e-05</v>
      </c>
      <c r="D6" s="4">
        <v>0.81264682801578436</v>
      </c>
      <c r="E6">
        <v>2</v>
      </c>
      <c r="F6">
        <v>19.046506000000001</v>
      </c>
      <c r="G6">
        <v>0.05237435</v>
      </c>
      <c r="H6">
        <v>1700</v>
      </c>
      <c r="N6" t="str">
        <f t="shared" si="109"/>
        <v/>
      </c>
      <c r="O6">
        <f t="shared" si="110"/>
        <v>19.046506000000001</v>
      </c>
      <c r="U6">
        <v>120</v>
      </c>
      <c r="V6">
        <v>-100</v>
      </c>
    </row>
    <row r="7">
      <c r="A7" t="s">
        <v>1248</v>
      </c>
      <c r="B7">
        <v>6</v>
      </c>
      <c r="E7">
        <v>1</v>
      </c>
      <c r="F7">
        <v>9.2441700000000004</v>
      </c>
      <c r="G7">
        <v>0.056830459999999999</v>
      </c>
      <c r="H7">
        <v>1700</v>
      </c>
      <c r="N7">
        <f t="shared" si="109"/>
        <v>9.2441700000000004</v>
      </c>
      <c r="O7" t="str">
        <f t="shared" si="110"/>
        <v/>
      </c>
      <c r="U7">
        <v>120</v>
      </c>
      <c r="V7">
        <v>-100</v>
      </c>
    </row>
    <row r="8">
      <c r="N8" t="str">
        <f t="shared" si="109"/>
        <v/>
      </c>
      <c r="O8" t="str">
        <f t="shared" si="110"/>
        <v/>
      </c>
    </row>
    <row r="9">
      <c r="N9" t="str">
        <f t="shared" si="109"/>
        <v/>
      </c>
      <c r="O9" t="str">
        <f t="shared" si="110"/>
        <v/>
      </c>
    </row>
    <row r="10">
      <c r="N10" t="str">
        <f t="shared" si="109"/>
        <v/>
      </c>
      <c r="O10" t="str">
        <f t="shared" si="110"/>
        <v/>
      </c>
    </row>
    <row r="11">
      <c r="N11" t="str">
        <f t="shared" si="109"/>
        <v/>
      </c>
      <c r="O11" t="str">
        <f t="shared" si="110"/>
        <v/>
      </c>
    </row>
    <row r="12">
      <c r="N12" t="str">
        <f t="shared" si="109"/>
        <v/>
      </c>
      <c r="O12" t="str">
        <f t="shared" si="110"/>
        <v/>
      </c>
    </row>
    <row r="13">
      <c r="N13" t="str">
        <f t="shared" si="109"/>
        <v/>
      </c>
      <c r="O13" t="str">
        <f t="shared" si="110"/>
        <v/>
      </c>
    </row>
    <row r="14">
      <c r="N14" t="str">
        <f t="shared" si="109"/>
        <v/>
      </c>
      <c r="O14" t="str">
        <f t="shared" si="110"/>
        <v/>
      </c>
    </row>
    <row r="15">
      <c r="N15" t="str">
        <f t="shared" si="109"/>
        <v/>
      </c>
      <c r="O15" t="str">
        <f t="shared" si="110"/>
        <v/>
      </c>
    </row>
    <row r="16">
      <c r="N16" t="str">
        <f t="shared" si="109"/>
        <v/>
      </c>
      <c r="O16" t="str">
        <f t="shared" si="110"/>
        <v/>
      </c>
    </row>
    <row r="17">
      <c r="N17" t="str">
        <f t="shared" si="109"/>
        <v/>
      </c>
      <c r="O17" t="str">
        <f t="shared" si="110"/>
        <v/>
      </c>
    </row>
    <row r="18">
      <c r="N18" t="str">
        <f t="shared" si="109"/>
        <v/>
      </c>
      <c r="O18" t="str">
        <f t="shared" si="110"/>
        <v/>
      </c>
    </row>
    <row r="19">
      <c r="N19" t="str">
        <f t="shared" si="109"/>
        <v/>
      </c>
      <c r="O19" t="str">
        <f t="shared" si="110"/>
        <v/>
      </c>
    </row>
    <row r="20">
      <c r="N20" t="str">
        <f t="shared" si="109"/>
        <v/>
      </c>
      <c r="O20" t="str">
        <f t="shared" si="110"/>
        <v/>
      </c>
    </row>
    <row r="21">
      <c r="N21" t="str">
        <f t="shared" si="109"/>
        <v/>
      </c>
      <c r="O21" t="str">
        <f t="shared" si="110"/>
        <v/>
      </c>
    </row>
    <row r="22">
      <c r="N22" t="str">
        <f t="shared" si="109"/>
        <v/>
      </c>
      <c r="O22" t="str">
        <f t="shared" si="110"/>
        <v/>
      </c>
    </row>
    <row r="23">
      <c r="N23" t="str">
        <f t="shared" si="109"/>
        <v/>
      </c>
      <c r="O23" t="str">
        <f t="shared" si="110"/>
        <v/>
      </c>
    </row>
    <row r="24">
      <c r="N24" t="str">
        <f t="shared" si="109"/>
        <v/>
      </c>
      <c r="O24" t="str">
        <f t="shared" si="110"/>
        <v/>
      </c>
    </row>
    <row r="25">
      <c r="N25" t="str">
        <f t="shared" si="109"/>
        <v/>
      </c>
      <c r="O25" t="str">
        <f t="shared" si="110"/>
        <v/>
      </c>
    </row>
    <row r="26">
      <c r="N26" t="str">
        <f t="shared" si="109"/>
        <v/>
      </c>
      <c r="O26" t="str">
        <f t="shared" si="110"/>
        <v/>
      </c>
    </row>
    <row r="27">
      <c r="N27" t="str">
        <f t="shared" si="109"/>
        <v/>
      </c>
      <c r="O27" t="str">
        <f t="shared" si="110"/>
        <v/>
      </c>
    </row>
    <row r="28">
      <c r="N28" t="str">
        <f t="shared" si="109"/>
        <v/>
      </c>
      <c r="O28" t="str">
        <f t="shared" si="110"/>
        <v/>
      </c>
    </row>
    <row r="29">
      <c r="N29" t="str">
        <f t="shared" si="109"/>
        <v/>
      </c>
      <c r="O29" t="str">
        <f t="shared" si="110"/>
        <v/>
      </c>
    </row>
    <row r="30">
      <c r="N30" t="str">
        <f t="shared" si="109"/>
        <v/>
      </c>
      <c r="O30" t="str">
        <f t="shared" si="110"/>
        <v/>
      </c>
    </row>
    <row r="31">
      <c r="N31" t="str">
        <f t="shared" si="109"/>
        <v/>
      </c>
      <c r="O31" t="str">
        <f t="shared" si="110"/>
        <v/>
      </c>
    </row>
    <row r="32">
      <c r="N32" t="str">
        <f t="shared" si="109"/>
        <v/>
      </c>
      <c r="O32" t="str">
        <f t="shared" si="110"/>
        <v/>
      </c>
    </row>
    <row r="33">
      <c r="N33" t="str">
        <f t="shared" si="109"/>
        <v/>
      </c>
      <c r="O33" t="str">
        <f t="shared" si="110"/>
        <v/>
      </c>
    </row>
    <row r="34">
      <c r="N34" t="str">
        <f t="shared" si="109"/>
        <v/>
      </c>
      <c r="O34" t="str">
        <f t="shared" si="110"/>
        <v/>
      </c>
    </row>
    <row r="35">
      <c r="N35" t="str">
        <f t="shared" si="109"/>
        <v/>
      </c>
      <c r="O35" t="str">
        <f t="shared" si="110"/>
        <v/>
      </c>
    </row>
    <row r="36">
      <c r="N36" t="str">
        <f t="shared" si="109"/>
        <v/>
      </c>
      <c r="O36" t="str">
        <f t="shared" si="110"/>
        <v/>
      </c>
    </row>
    <row r="37">
      <c r="N37" t="str">
        <f t="shared" si="109"/>
        <v/>
      </c>
      <c r="O37" t="str">
        <f t="shared" si="110"/>
        <v/>
      </c>
    </row>
    <row r="38">
      <c r="N38" t="str">
        <f t="shared" si="109"/>
        <v/>
      </c>
      <c r="O38" t="str">
        <f t="shared" si="110"/>
        <v/>
      </c>
    </row>
    <row r="39">
      <c r="N39" t="str">
        <f t="shared" si="109"/>
        <v/>
      </c>
      <c r="O39" t="str">
        <f t="shared" si="110"/>
        <v/>
      </c>
    </row>
    <row r="40">
      <c r="N40" t="str">
        <f t="shared" si="109"/>
        <v/>
      </c>
      <c r="O40" t="str">
        <f t="shared" si="110"/>
        <v/>
      </c>
    </row>
    <row r="41">
      <c r="N41" t="str">
        <f t="shared" si="109"/>
        <v/>
      </c>
      <c r="O41" t="str">
        <f t="shared" si="110"/>
        <v/>
      </c>
    </row>
    <row r="42">
      <c r="N42" t="str">
        <f t="shared" si="109"/>
        <v/>
      </c>
      <c r="O42" t="str">
        <f t="shared" si="110"/>
        <v/>
      </c>
    </row>
    <row r="43">
      <c r="N43" t="str">
        <f t="shared" si="109"/>
        <v/>
      </c>
      <c r="O43" t="str">
        <f t="shared" si="110"/>
        <v/>
      </c>
    </row>
    <row r="44">
      <c r="N44" t="str">
        <f t="shared" si="109"/>
        <v/>
      </c>
      <c r="O44" t="str">
        <f t="shared" si="110"/>
        <v/>
      </c>
    </row>
    <row r="45">
      <c r="N45" t="str">
        <f t="shared" si="109"/>
        <v/>
      </c>
      <c r="O45" t="str">
        <f t="shared" si="110"/>
        <v/>
      </c>
    </row>
    <row r="46">
      <c r="N46" t="str">
        <f t="shared" si="109"/>
        <v/>
      </c>
      <c r="O46" t="str">
        <f t="shared" si="110"/>
        <v/>
      </c>
    </row>
    <row r="47">
      <c r="N47" t="str">
        <f t="shared" si="109"/>
        <v/>
      </c>
      <c r="O47" t="str">
        <f t="shared" si="110"/>
        <v/>
      </c>
    </row>
    <row r="48">
      <c r="N48" t="str">
        <f t="shared" si="109"/>
        <v/>
      </c>
      <c r="O48" t="str">
        <f t="shared" si="110"/>
        <v/>
      </c>
    </row>
    <row r="49">
      <c r="N49" t="str">
        <f t="shared" si="109"/>
        <v/>
      </c>
      <c r="O49" t="str">
        <f t="shared" si="110"/>
        <v/>
      </c>
    </row>
    <row r="50">
      <c r="N50" t="str">
        <f t="shared" si="109"/>
        <v/>
      </c>
      <c r="O50" t="str">
        <f t="shared" si="110"/>
        <v/>
      </c>
    </row>
    <row r="51">
      <c r="N51" t="str">
        <f t="shared" si="109"/>
        <v/>
      </c>
      <c r="O51" t="str">
        <f t="shared" si="110"/>
        <v/>
      </c>
    </row>
    <row r="52">
      <c r="N52" t="str">
        <f t="shared" si="109"/>
        <v/>
      </c>
      <c r="O52" t="str">
        <f t="shared" si="110"/>
        <v/>
      </c>
    </row>
    <row r="53">
      <c r="N53" t="str">
        <f t="shared" si="109"/>
        <v/>
      </c>
      <c r="O53" t="str">
        <f t="shared" si="110"/>
        <v/>
      </c>
    </row>
    <row r="54">
      <c r="N54" t="str">
        <f t="shared" si="109"/>
        <v/>
      </c>
      <c r="O54" t="str">
        <f t="shared" si="110"/>
        <v/>
      </c>
    </row>
    <row r="55">
      <c r="N55" t="str">
        <f t="shared" si="109"/>
        <v/>
      </c>
      <c r="O55" t="str">
        <f t="shared" si="110"/>
        <v/>
      </c>
    </row>
    <row r="56">
      <c r="N56" t="str">
        <f t="shared" si="109"/>
        <v/>
      </c>
      <c r="O56" t="str">
        <f t="shared" si="110"/>
        <v/>
      </c>
    </row>
    <row r="57">
      <c r="N57" t="str">
        <f t="shared" si="109"/>
        <v/>
      </c>
      <c r="O57" t="str">
        <f t="shared" si="110"/>
        <v/>
      </c>
    </row>
    <row r="58">
      <c r="N58" t="str">
        <f t="shared" si="109"/>
        <v/>
      </c>
      <c r="O58" t="str">
        <f t="shared" si="110"/>
        <v/>
      </c>
    </row>
    <row r="59">
      <c r="N59" t="str">
        <f t="shared" si="109"/>
        <v/>
      </c>
      <c r="O59" t="str">
        <f t="shared" si="110"/>
        <v/>
      </c>
    </row>
    <row r="60">
      <c r="N60" t="str">
        <f t="shared" si="109"/>
        <v/>
      </c>
      <c r="O60" t="str">
        <f t="shared" si="110"/>
        <v/>
      </c>
    </row>
    <row r="61">
      <c r="N61" t="str">
        <f t="shared" si="109"/>
        <v/>
      </c>
      <c r="O61" t="str">
        <f t="shared" si="110"/>
        <v/>
      </c>
    </row>
    <row r="62">
      <c r="N62" t="str">
        <f t="shared" si="109"/>
        <v/>
      </c>
      <c r="O62" t="str">
        <f t="shared" si="110"/>
        <v/>
      </c>
    </row>
    <row r="63">
      <c r="N63" t="str">
        <f t="shared" si="109"/>
        <v/>
      </c>
      <c r="O63" t="str">
        <f t="shared" si="110"/>
        <v/>
      </c>
    </row>
    <row r="64">
      <c r="N64" t="str">
        <f t="shared" si="109"/>
        <v/>
      </c>
      <c r="O64" t="str">
        <f t="shared" si="110"/>
        <v/>
      </c>
    </row>
    <row r="65">
      <c r="N65" t="str">
        <f t="shared" si="109"/>
        <v/>
      </c>
      <c r="O65" t="str">
        <f t="shared" si="110"/>
        <v/>
      </c>
    </row>
    <row r="66">
      <c r="N66" t="str">
        <f t="shared" ref="N66:N129" si="111">IF(E66=1,F66,"")</f>
        <v/>
      </c>
      <c r="O66" t="str">
        <f t="shared" ref="O66" si="112">IF(E66=2,F66,"")</f>
        <v/>
      </c>
    </row>
    <row r="67">
      <c r="N67" t="str">
        <f t="shared" si="111"/>
        <v/>
      </c>
      <c r="O67" t="str">
        <f t="shared" ref="O67:O130" si="113">IF(E67=2,F67,"")</f>
        <v/>
      </c>
    </row>
    <row r="68">
      <c r="N68" t="str">
        <f t="shared" si="111"/>
        <v/>
      </c>
      <c r="O68" t="str">
        <f t="shared" si="113"/>
        <v/>
      </c>
    </row>
    <row r="69">
      <c r="N69" t="str">
        <f t="shared" si="111"/>
        <v/>
      </c>
      <c r="O69" t="str">
        <f t="shared" si="113"/>
        <v/>
      </c>
    </row>
    <row r="70">
      <c r="N70" t="str">
        <f t="shared" si="111"/>
        <v/>
      </c>
      <c r="O70" t="str">
        <f t="shared" si="113"/>
        <v/>
      </c>
    </row>
    <row r="71">
      <c r="N71" t="str">
        <f t="shared" si="111"/>
        <v/>
      </c>
      <c r="O71" t="str">
        <f t="shared" si="113"/>
        <v/>
      </c>
    </row>
    <row r="72">
      <c r="N72" t="str">
        <f t="shared" si="111"/>
        <v/>
      </c>
      <c r="O72" t="str">
        <f t="shared" si="113"/>
        <v/>
      </c>
    </row>
    <row r="73">
      <c r="N73" t="str">
        <f t="shared" si="111"/>
        <v/>
      </c>
      <c r="O73" t="str">
        <f t="shared" si="113"/>
        <v/>
      </c>
    </row>
    <row r="74">
      <c r="N74" t="str">
        <f t="shared" si="111"/>
        <v/>
      </c>
      <c r="O74" t="str">
        <f t="shared" si="113"/>
        <v/>
      </c>
    </row>
    <row r="75">
      <c r="N75" t="str">
        <f t="shared" si="111"/>
        <v/>
      </c>
      <c r="O75" t="str">
        <f t="shared" si="113"/>
        <v/>
      </c>
    </row>
    <row r="76">
      <c r="N76" t="str">
        <f t="shared" si="111"/>
        <v/>
      </c>
      <c r="O76" t="str">
        <f t="shared" si="113"/>
        <v/>
      </c>
    </row>
    <row r="77">
      <c r="N77" t="str">
        <f t="shared" si="111"/>
        <v/>
      </c>
      <c r="O77" t="str">
        <f t="shared" si="113"/>
        <v/>
      </c>
    </row>
    <row r="78">
      <c r="N78" t="str">
        <f t="shared" si="111"/>
        <v/>
      </c>
      <c r="O78" t="str">
        <f t="shared" si="113"/>
        <v/>
      </c>
    </row>
    <row r="79">
      <c r="N79" t="str">
        <f t="shared" si="111"/>
        <v/>
      </c>
      <c r="O79" t="str">
        <f t="shared" si="113"/>
        <v/>
      </c>
    </row>
    <row r="80">
      <c r="N80" t="str">
        <f t="shared" si="111"/>
        <v/>
      </c>
      <c r="O80" t="str">
        <f t="shared" si="113"/>
        <v/>
      </c>
    </row>
    <row r="81">
      <c r="N81" t="str">
        <f t="shared" si="111"/>
        <v/>
      </c>
      <c r="O81" t="str">
        <f t="shared" si="113"/>
        <v/>
      </c>
    </row>
    <row r="82">
      <c r="N82" t="str">
        <f t="shared" si="111"/>
        <v/>
      </c>
      <c r="O82" t="str">
        <f t="shared" si="113"/>
        <v/>
      </c>
    </row>
    <row r="83">
      <c r="N83" t="str">
        <f t="shared" si="111"/>
        <v/>
      </c>
      <c r="O83" t="str">
        <f t="shared" si="113"/>
        <v/>
      </c>
    </row>
    <row r="84">
      <c r="N84" t="str">
        <f t="shared" si="111"/>
        <v/>
      </c>
      <c r="O84" t="str">
        <f t="shared" si="113"/>
        <v/>
      </c>
    </row>
    <row r="85">
      <c r="N85" t="str">
        <f t="shared" si="111"/>
        <v/>
      </c>
      <c r="O85" t="str">
        <f t="shared" si="113"/>
        <v/>
      </c>
    </row>
    <row r="86">
      <c r="N86" t="str">
        <f t="shared" si="111"/>
        <v/>
      </c>
      <c r="O86" t="str">
        <f t="shared" si="113"/>
        <v/>
      </c>
    </row>
    <row r="87">
      <c r="N87" t="str">
        <f t="shared" si="111"/>
        <v/>
      </c>
      <c r="O87" t="str">
        <f t="shared" si="113"/>
        <v/>
      </c>
    </row>
    <row r="88">
      <c r="N88" t="str">
        <f t="shared" si="111"/>
        <v/>
      </c>
      <c r="O88" t="str">
        <f t="shared" si="113"/>
        <v/>
      </c>
    </row>
    <row r="89">
      <c r="N89" t="str">
        <f t="shared" si="111"/>
        <v/>
      </c>
      <c r="O89" t="str">
        <f t="shared" si="113"/>
        <v/>
      </c>
    </row>
    <row r="90">
      <c r="N90" t="str">
        <f t="shared" si="111"/>
        <v/>
      </c>
      <c r="O90" t="str">
        <f t="shared" si="113"/>
        <v/>
      </c>
    </row>
    <row r="91">
      <c r="N91" t="str">
        <f t="shared" si="111"/>
        <v/>
      </c>
      <c r="O91" t="str">
        <f t="shared" si="113"/>
        <v/>
      </c>
    </row>
    <row r="92">
      <c r="N92" t="str">
        <f t="shared" si="111"/>
        <v/>
      </c>
      <c r="O92" t="str">
        <f t="shared" si="113"/>
        <v/>
      </c>
    </row>
    <row r="93">
      <c r="N93" t="str">
        <f t="shared" si="111"/>
        <v/>
      </c>
      <c r="O93" t="str">
        <f t="shared" si="113"/>
        <v/>
      </c>
    </row>
    <row r="94">
      <c r="N94" t="str">
        <f t="shared" si="111"/>
        <v/>
      </c>
      <c r="O94" t="str">
        <f t="shared" si="113"/>
        <v/>
      </c>
    </row>
    <row r="95">
      <c r="N95" t="str">
        <f t="shared" si="111"/>
        <v/>
      </c>
      <c r="O95" t="str">
        <f t="shared" si="113"/>
        <v/>
      </c>
    </row>
    <row r="96">
      <c r="N96" t="str">
        <f t="shared" si="111"/>
        <v/>
      </c>
      <c r="O96" t="str">
        <f t="shared" si="113"/>
        <v/>
      </c>
    </row>
    <row r="97">
      <c r="N97" t="str">
        <f t="shared" si="111"/>
        <v/>
      </c>
      <c r="O97" t="str">
        <f t="shared" si="113"/>
        <v/>
      </c>
    </row>
    <row r="98">
      <c r="N98" t="str">
        <f t="shared" si="111"/>
        <v/>
      </c>
      <c r="O98" t="str">
        <f t="shared" si="113"/>
        <v/>
      </c>
    </row>
    <row r="99">
      <c r="N99" t="str">
        <f t="shared" si="111"/>
        <v/>
      </c>
      <c r="O99" t="str">
        <f t="shared" si="113"/>
        <v/>
      </c>
    </row>
    <row r="100">
      <c r="N100" t="str">
        <f t="shared" si="111"/>
        <v/>
      </c>
      <c r="O100" t="str">
        <f t="shared" si="113"/>
        <v/>
      </c>
    </row>
    <row r="101">
      <c r="N101" t="str">
        <f t="shared" si="111"/>
        <v/>
      </c>
      <c r="O101" t="str">
        <f t="shared" si="113"/>
        <v/>
      </c>
    </row>
    <row r="102">
      <c r="N102" t="str">
        <f t="shared" si="111"/>
        <v/>
      </c>
      <c r="O102" t="str">
        <f t="shared" si="113"/>
        <v/>
      </c>
    </row>
    <row r="103">
      <c r="N103" t="str">
        <f t="shared" si="111"/>
        <v/>
      </c>
      <c r="O103" t="str">
        <f t="shared" si="113"/>
        <v/>
      </c>
    </row>
    <row r="104">
      <c r="N104" t="str">
        <f t="shared" si="111"/>
        <v/>
      </c>
      <c r="O104" t="str">
        <f t="shared" si="113"/>
        <v/>
      </c>
    </row>
    <row r="105">
      <c r="N105" t="str">
        <f t="shared" si="111"/>
        <v/>
      </c>
      <c r="O105" t="str">
        <f t="shared" si="113"/>
        <v/>
      </c>
    </row>
    <row r="106">
      <c r="N106" t="str">
        <f t="shared" si="111"/>
        <v/>
      </c>
      <c r="O106" t="str">
        <f t="shared" si="113"/>
        <v/>
      </c>
    </row>
    <row r="107">
      <c r="N107" t="str">
        <f t="shared" si="111"/>
        <v/>
      </c>
      <c r="O107" t="str">
        <f t="shared" si="113"/>
        <v/>
      </c>
    </row>
    <row r="108">
      <c r="N108" t="str">
        <f t="shared" si="111"/>
        <v/>
      </c>
      <c r="O108" t="str">
        <f t="shared" si="113"/>
        <v/>
      </c>
    </row>
    <row r="109">
      <c r="N109" t="str">
        <f t="shared" si="111"/>
        <v/>
      </c>
      <c r="O109" t="str">
        <f t="shared" si="113"/>
        <v/>
      </c>
    </row>
    <row r="110">
      <c r="N110" t="str">
        <f t="shared" si="111"/>
        <v/>
      </c>
      <c r="O110" t="str">
        <f t="shared" si="113"/>
        <v/>
      </c>
    </row>
    <row r="111">
      <c r="N111" t="str">
        <f t="shared" si="111"/>
        <v/>
      </c>
      <c r="O111" t="str">
        <f t="shared" si="113"/>
        <v/>
      </c>
    </row>
    <row r="112">
      <c r="N112" t="str">
        <f t="shared" si="111"/>
        <v/>
      </c>
      <c r="O112" t="str">
        <f t="shared" si="113"/>
        <v/>
      </c>
    </row>
    <row r="113">
      <c r="N113" t="str">
        <f t="shared" si="111"/>
        <v/>
      </c>
      <c r="O113" t="str">
        <f t="shared" si="113"/>
        <v/>
      </c>
    </row>
    <row r="114">
      <c r="N114" t="str">
        <f t="shared" si="111"/>
        <v/>
      </c>
      <c r="O114" t="str">
        <f t="shared" si="113"/>
        <v/>
      </c>
    </row>
    <row r="115">
      <c r="N115" t="str">
        <f t="shared" si="111"/>
        <v/>
      </c>
      <c r="O115" t="str">
        <f t="shared" si="113"/>
        <v/>
      </c>
    </row>
    <row r="116">
      <c r="N116" t="str">
        <f t="shared" si="111"/>
        <v/>
      </c>
      <c r="O116" t="str">
        <f t="shared" si="113"/>
        <v/>
      </c>
    </row>
    <row r="117">
      <c r="N117" t="str">
        <f t="shared" si="111"/>
        <v/>
      </c>
      <c r="O117" t="str">
        <f t="shared" si="113"/>
        <v/>
      </c>
    </row>
    <row r="118">
      <c r="N118" t="str">
        <f t="shared" si="111"/>
        <v/>
      </c>
      <c r="O118" t="str">
        <f t="shared" si="113"/>
        <v/>
      </c>
    </row>
    <row r="119">
      <c r="N119" t="str">
        <f t="shared" si="111"/>
        <v/>
      </c>
      <c r="O119" t="str">
        <f t="shared" si="113"/>
        <v/>
      </c>
    </row>
    <row r="120">
      <c r="N120" t="str">
        <f t="shared" si="111"/>
        <v/>
      </c>
      <c r="O120" t="str">
        <f t="shared" si="113"/>
        <v/>
      </c>
    </row>
    <row r="121">
      <c r="N121" t="str">
        <f t="shared" si="111"/>
        <v/>
      </c>
      <c r="O121" t="str">
        <f t="shared" si="113"/>
        <v/>
      </c>
    </row>
    <row r="122">
      <c r="N122" t="str">
        <f t="shared" si="111"/>
        <v/>
      </c>
      <c r="O122" t="str">
        <f t="shared" si="113"/>
        <v/>
      </c>
    </row>
    <row r="123">
      <c r="N123" t="str">
        <f t="shared" si="111"/>
        <v/>
      </c>
      <c r="O123" t="str">
        <f t="shared" si="113"/>
        <v/>
      </c>
    </row>
    <row r="124">
      <c r="N124" t="str">
        <f t="shared" si="111"/>
        <v/>
      </c>
      <c r="O124" t="str">
        <f t="shared" si="113"/>
        <v/>
      </c>
    </row>
    <row r="125">
      <c r="N125" t="str">
        <f t="shared" si="111"/>
        <v/>
      </c>
      <c r="O125" t="str">
        <f t="shared" si="113"/>
        <v/>
      </c>
    </row>
    <row r="126">
      <c r="N126" t="str">
        <f t="shared" si="111"/>
        <v/>
      </c>
      <c r="O126" t="str">
        <f t="shared" si="113"/>
        <v/>
      </c>
    </row>
    <row r="127">
      <c r="N127" t="str">
        <f t="shared" si="111"/>
        <v/>
      </c>
      <c r="O127" t="str">
        <f t="shared" si="113"/>
        <v/>
      </c>
    </row>
    <row r="128">
      <c r="N128" t="str">
        <f t="shared" si="111"/>
        <v/>
      </c>
      <c r="O128" t="str">
        <f t="shared" si="113"/>
        <v/>
      </c>
    </row>
    <row r="129">
      <c r="N129" t="str">
        <f t="shared" si="111"/>
        <v/>
      </c>
      <c r="O129" t="str">
        <f t="shared" si="113"/>
        <v/>
      </c>
    </row>
    <row r="130">
      <c r="N130" t="str">
        <f t="shared" ref="N130:N144" si="114">IF(E130=1,F130,"")</f>
        <v/>
      </c>
      <c r="O130" t="str">
        <f t="shared" si="113"/>
        <v/>
      </c>
    </row>
    <row r="131">
      <c r="N131" t="str">
        <f t="shared" si="114"/>
        <v/>
      </c>
      <c r="O131" t="str">
        <f t="shared" ref="O131:O144" si="115">IF(E131=2,F131,"")</f>
        <v/>
      </c>
    </row>
    <row r="132">
      <c r="N132" t="str">
        <f t="shared" si="114"/>
        <v/>
      </c>
      <c r="O132" t="str">
        <f t="shared" si="115"/>
        <v/>
      </c>
    </row>
    <row r="133">
      <c r="N133" t="str">
        <f t="shared" si="114"/>
        <v/>
      </c>
      <c r="O133" t="str">
        <f t="shared" si="115"/>
        <v/>
      </c>
    </row>
    <row r="134">
      <c r="N134" t="str">
        <f t="shared" si="114"/>
        <v/>
      </c>
      <c r="O134" t="str">
        <f t="shared" si="115"/>
        <v/>
      </c>
    </row>
    <row r="135">
      <c r="N135" t="str">
        <f t="shared" si="114"/>
        <v/>
      </c>
      <c r="O135" t="str">
        <f t="shared" si="115"/>
        <v/>
      </c>
    </row>
    <row r="136">
      <c r="N136" t="str">
        <f t="shared" si="114"/>
        <v/>
      </c>
      <c r="O136" t="str">
        <f t="shared" si="115"/>
        <v/>
      </c>
    </row>
    <row r="137">
      <c r="N137" t="str">
        <f t="shared" si="114"/>
        <v/>
      </c>
      <c r="O137" t="str">
        <f t="shared" si="115"/>
        <v/>
      </c>
    </row>
    <row r="138">
      <c r="N138" t="str">
        <f t="shared" si="114"/>
        <v/>
      </c>
      <c r="O138" t="str">
        <f t="shared" si="115"/>
        <v/>
      </c>
    </row>
    <row r="139">
      <c r="N139" t="str">
        <f t="shared" si="114"/>
        <v/>
      </c>
      <c r="O139" t="str">
        <f t="shared" si="115"/>
        <v/>
      </c>
    </row>
    <row r="140">
      <c r="N140" t="str">
        <f t="shared" si="114"/>
        <v/>
      </c>
      <c r="O140" t="str">
        <f t="shared" si="115"/>
        <v/>
      </c>
    </row>
    <row r="141">
      <c r="N141" t="str">
        <f t="shared" si="114"/>
        <v/>
      </c>
      <c r="O141" t="str">
        <f t="shared" si="115"/>
        <v/>
      </c>
    </row>
    <row r="142">
      <c r="N142" t="str">
        <f t="shared" si="114"/>
        <v/>
      </c>
      <c r="O142" t="str">
        <f t="shared" si="115"/>
        <v/>
      </c>
    </row>
    <row r="143">
      <c r="N143" t="str">
        <f t="shared" si="114"/>
        <v/>
      </c>
      <c r="O143" t="str">
        <f t="shared" si="115"/>
        <v/>
      </c>
    </row>
    <row r="144">
      <c r="N144" t="str">
        <f t="shared" si="114"/>
        <v/>
      </c>
      <c r="O144" t="str">
        <f t="shared" si="115"/>
        <v/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1:1048576"/>
    </sheetView>
  </sheetViews>
  <sheetFormatPr baseColWidth="10" defaultRowHeight="15"/>
  <sheetData>
    <row r="1">
      <c r="A1" t="s">
        <v>293</v>
      </c>
      <c r="B1" t="s">
        <v>1249</v>
      </c>
      <c r="C1" t="s">
        <v>1250</v>
      </c>
      <c r="D1" t="s">
        <v>1251</v>
      </c>
      <c r="E1" t="s">
        <v>297</v>
      </c>
      <c r="F1" t="s">
        <v>298</v>
      </c>
      <c r="G1" s="142" t="s">
        <v>1252</v>
      </c>
      <c r="H1" t="s">
        <v>300</v>
      </c>
      <c r="I1" t="s">
        <v>301</v>
      </c>
      <c r="J1" t="s">
        <v>302</v>
      </c>
      <c r="L1" t="s">
        <v>1253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310</v>
      </c>
      <c r="V1" t="s">
        <v>300</v>
      </c>
    </row>
    <row r="2">
      <c r="A2" t="s">
        <v>1254</v>
      </c>
      <c r="B2">
        <v>1</v>
      </c>
      <c r="E2">
        <v>1</v>
      </c>
      <c r="F2">
        <v>10.97849800612777</v>
      </c>
      <c r="G2">
        <v>0.19454837148524262</v>
      </c>
      <c r="H2">
        <v>1700</v>
      </c>
      <c r="I2">
        <v>3</v>
      </c>
      <c r="J2">
        <v>5</v>
      </c>
      <c r="L2">
        <f>F5-F6</f>
        <v>6.1522685014341576</v>
      </c>
      <c r="N2">
        <f t="shared" ref="N2:N65" si="116">IF(E2=1,F2,"")</f>
        <v>10.97849800612777</v>
      </c>
      <c r="O2" t="str">
        <f t="shared" ref="O2:O65" si="117">IF(E2=2,F2,"")</f>
        <v/>
      </c>
      <c r="P2">
        <f>AVERAGE(G11,G13,G17)</f>
        <v>0.1910869563140527</v>
      </c>
      <c r="Q2">
        <f>MIN(N2:N124)</f>
        <v>3.6521505595827901</v>
      </c>
      <c r="R2">
        <f>AVERAGE(N2:N124)</f>
        <v>9.1026444413559311</v>
      </c>
      <c r="S2">
        <f>MAX(N2:N124)</f>
        <v>15.624145735332464</v>
      </c>
      <c r="T2">
        <f>COUNT(N2:N124)</f>
        <v>10</v>
      </c>
      <c r="U2">
        <v>120</v>
      </c>
      <c r="V2">
        <v>-130</v>
      </c>
    </row>
    <row r="3">
      <c r="A3" t="s">
        <v>1255</v>
      </c>
      <c r="B3">
        <v>2</v>
      </c>
      <c r="E3">
        <v>6</v>
      </c>
      <c r="H3">
        <v>1700</v>
      </c>
      <c r="I3">
        <v>6</v>
      </c>
      <c r="J3">
        <v>6</v>
      </c>
      <c r="N3" t="str">
        <f t="shared" si="116"/>
        <v/>
      </c>
      <c r="O3" t="str">
        <f t="shared" si="117"/>
        <v/>
      </c>
      <c r="U3">
        <v>120</v>
      </c>
      <c r="V3">
        <v>-130</v>
      </c>
    </row>
    <row r="4">
      <c r="A4" t="s">
        <v>1256</v>
      </c>
      <c r="B4">
        <v>3</v>
      </c>
      <c r="C4" s="4">
        <v>3.82e-05</v>
      </c>
      <c r="D4" s="4">
        <f t="shared" ref="D4:D6" si="118">C4/0.000098</f>
        <v>0.38979591836734695</v>
      </c>
      <c r="E4">
        <v>2</v>
      </c>
      <c r="F4">
        <v>19.710641919687092</v>
      </c>
      <c r="G4">
        <v>0.1852379686063102</v>
      </c>
      <c r="H4">
        <v>1700</v>
      </c>
      <c r="I4">
        <v>12</v>
      </c>
      <c r="J4">
        <v>12</v>
      </c>
      <c r="N4" t="str">
        <f t="shared" si="116"/>
        <v/>
      </c>
      <c r="O4">
        <f t="shared" si="117"/>
        <v>19.710641919687092</v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120</v>
      </c>
      <c r="V4">
        <v>-130</v>
      </c>
    </row>
    <row r="5">
      <c r="A5" t="s">
        <v>1257</v>
      </c>
      <c r="B5">
        <v>4</v>
      </c>
      <c r="C5" s="4">
        <v>2.2799999999999999e-05</v>
      </c>
      <c r="D5" s="4">
        <f t="shared" si="118"/>
        <v>0.23265306122448978</v>
      </c>
      <c r="E5">
        <v>2</v>
      </c>
      <c r="F5">
        <v>22.880414418252933</v>
      </c>
      <c r="G5">
        <v>0.19639380559688119</v>
      </c>
      <c r="H5">
        <v>1700</v>
      </c>
      <c r="I5">
        <v>16</v>
      </c>
      <c r="J5">
        <v>20</v>
      </c>
      <c r="L5">
        <f>F19-F21</f>
        <v>2.3132400028683193</v>
      </c>
      <c r="N5" t="str">
        <f t="shared" si="116"/>
        <v/>
      </c>
      <c r="O5">
        <f t="shared" si="117"/>
        <v>22.880414418252933</v>
      </c>
      <c r="P5">
        <f>AVERAGE(G2:G10,G12,G14:G16,G18:G22)</f>
        <v>0.19550445130359079</v>
      </c>
      <c r="Q5">
        <f>MIN(O2:O124)</f>
        <v>16.728145916818775</v>
      </c>
      <c r="R5">
        <f>AVERAGE(O2:O124)</f>
        <v>20.14020756470665</v>
      </c>
      <c r="S5">
        <f>MAX(O2:O124)</f>
        <v>22.880414418252933</v>
      </c>
      <c r="T5">
        <f>COUNT(O2:O124)</f>
        <v>10</v>
      </c>
      <c r="U5">
        <v>120</v>
      </c>
      <c r="V5">
        <v>-130</v>
      </c>
    </row>
    <row r="6">
      <c r="A6" t="s">
        <v>1258</v>
      </c>
      <c r="B6">
        <v>5</v>
      </c>
      <c r="C6" s="4">
        <v>8.7299999999999994e-05</v>
      </c>
      <c r="D6" s="4">
        <f t="shared" si="118"/>
        <v>0.89081632653061227</v>
      </c>
      <c r="E6">
        <v>2</v>
      </c>
      <c r="F6">
        <v>16.728145916818775</v>
      </c>
      <c r="G6">
        <v>0.17824074512323598</v>
      </c>
      <c r="H6">
        <v>1700</v>
      </c>
      <c r="N6" t="str">
        <f t="shared" si="116"/>
        <v/>
      </c>
      <c r="O6">
        <f t="shared" si="117"/>
        <v>16.728145916818775</v>
      </c>
      <c r="U6">
        <v>120</v>
      </c>
      <c r="V6">
        <v>-130</v>
      </c>
    </row>
    <row r="7">
      <c r="A7" t="s">
        <v>1259</v>
      </c>
      <c r="B7">
        <v>6</v>
      </c>
      <c r="C7" s="4">
        <v>3.43e-05</v>
      </c>
      <c r="D7" s="4">
        <f>C7/0.0000554</f>
        <v>0.61913357400722024</v>
      </c>
      <c r="E7">
        <v>2</v>
      </c>
      <c r="F7">
        <v>21.464102415384616</v>
      </c>
      <c r="G7">
        <v>0.17828977053901429</v>
      </c>
      <c r="H7">
        <v>1700</v>
      </c>
      <c r="N7" t="str">
        <f t="shared" si="116"/>
        <v/>
      </c>
      <c r="O7">
        <f t="shared" si="117"/>
        <v>21.464102415384616</v>
      </c>
      <c r="U7">
        <v>120</v>
      </c>
      <c r="V7">
        <v>-130</v>
      </c>
    </row>
    <row r="8">
      <c r="A8" t="s">
        <v>1260</v>
      </c>
      <c r="B8">
        <v>7</v>
      </c>
      <c r="E8">
        <v>1</v>
      </c>
      <c r="F8">
        <v>10.645456830378096</v>
      </c>
      <c r="G8">
        <v>0.18731827978982077</v>
      </c>
      <c r="H8">
        <v>1700</v>
      </c>
      <c r="N8">
        <f t="shared" si="116"/>
        <v>10.645456830378096</v>
      </c>
      <c r="O8" t="str">
        <f t="shared" si="117"/>
        <v/>
      </c>
      <c r="U8">
        <v>120</v>
      </c>
      <c r="V8">
        <v>-130</v>
      </c>
    </row>
    <row r="9">
      <c r="A9" t="s">
        <v>1261</v>
      </c>
      <c r="B9">
        <v>8</v>
      </c>
      <c r="E9">
        <v>1</v>
      </c>
      <c r="F9">
        <v>9.260586328943937</v>
      </c>
      <c r="G9">
        <v>0.17382487844421918</v>
      </c>
      <c r="H9">
        <v>1700</v>
      </c>
      <c r="N9">
        <f t="shared" si="116"/>
        <v>9.260586328943937</v>
      </c>
      <c r="O9" t="str">
        <f t="shared" si="117"/>
        <v/>
      </c>
      <c r="U9">
        <v>120</v>
      </c>
      <c r="V9">
        <v>-130</v>
      </c>
    </row>
    <row r="10">
      <c r="A10" t="s">
        <v>1262</v>
      </c>
      <c r="B10">
        <v>9</v>
      </c>
      <c r="E10">
        <v>1</v>
      </c>
      <c r="F10">
        <v>10.116298827509778</v>
      </c>
      <c r="G10">
        <v>0.17562615257091516</v>
      </c>
      <c r="H10">
        <v>1700</v>
      </c>
      <c r="N10">
        <f t="shared" si="116"/>
        <v>10.116298827509778</v>
      </c>
      <c r="O10" t="str">
        <f t="shared" si="117"/>
        <v/>
      </c>
      <c r="U10">
        <v>120</v>
      </c>
      <c r="V10">
        <v>-130</v>
      </c>
    </row>
    <row r="11">
      <c r="A11" t="s">
        <v>1263</v>
      </c>
      <c r="B11">
        <v>10</v>
      </c>
      <c r="E11">
        <v>1</v>
      </c>
      <c r="F11">
        <v>3.8992393260756186</v>
      </c>
      <c r="G11">
        <v>0.19563054018892748</v>
      </c>
      <c r="H11">
        <v>1700</v>
      </c>
      <c r="N11">
        <f t="shared" si="116"/>
        <v>3.8992393260756186</v>
      </c>
      <c r="O11" t="str">
        <f t="shared" si="117"/>
        <v/>
      </c>
      <c r="U11">
        <v>120</v>
      </c>
      <c r="V11">
        <v>-130</v>
      </c>
    </row>
    <row r="12">
      <c r="A12" t="s">
        <v>1264</v>
      </c>
      <c r="B12">
        <v>11</v>
      </c>
      <c r="E12">
        <v>1</v>
      </c>
      <c r="F12">
        <v>8.1399018246414592</v>
      </c>
      <c r="G12">
        <v>0.22294500169256176</v>
      </c>
      <c r="H12">
        <v>1700</v>
      </c>
      <c r="N12">
        <f t="shared" si="116"/>
        <v>8.1399018246414592</v>
      </c>
      <c r="O12" t="str">
        <f t="shared" si="117"/>
        <v/>
      </c>
      <c r="U12">
        <v>120</v>
      </c>
      <c r="V12">
        <v>-130</v>
      </c>
    </row>
    <row r="13">
      <c r="A13" t="s">
        <v>1265</v>
      </c>
      <c r="B13">
        <v>12</v>
      </c>
      <c r="C13" s="4">
        <v>5.5000000000000002e-05</v>
      </c>
      <c r="D13" s="4">
        <f>C13/0.000088</f>
        <v>0.625</v>
      </c>
      <c r="E13">
        <v>2</v>
      </c>
      <c r="F13">
        <v>19.908827239634942</v>
      </c>
      <c r="G13">
        <v>0.19893812986181297</v>
      </c>
      <c r="H13">
        <v>1700</v>
      </c>
      <c r="N13" t="str">
        <f t="shared" si="116"/>
        <v/>
      </c>
      <c r="O13">
        <f t="shared" si="117"/>
        <v>19.908827239634942</v>
      </c>
      <c r="U13">
        <v>120</v>
      </c>
      <c r="V13">
        <v>-130</v>
      </c>
    </row>
    <row r="14">
      <c r="A14" t="s">
        <v>1266</v>
      </c>
      <c r="B14">
        <v>13</v>
      </c>
      <c r="E14">
        <v>1</v>
      </c>
      <c r="F14">
        <v>13.233509738200782</v>
      </c>
      <c r="G14">
        <v>0.19655636987425659</v>
      </c>
      <c r="H14">
        <v>1700</v>
      </c>
      <c r="N14">
        <f t="shared" si="116"/>
        <v>13.233509738200782</v>
      </c>
      <c r="O14" t="str">
        <f t="shared" si="117"/>
        <v/>
      </c>
      <c r="U14">
        <v>120</v>
      </c>
      <c r="V14">
        <v>-130</v>
      </c>
    </row>
    <row r="15">
      <c r="A15" t="s">
        <v>1267</v>
      </c>
      <c r="B15">
        <v>14</v>
      </c>
      <c r="E15">
        <v>1</v>
      </c>
      <c r="F15">
        <v>5.4766572367666226</v>
      </c>
      <c r="G15">
        <v>0.18367870975802167</v>
      </c>
      <c r="H15">
        <v>1700</v>
      </c>
      <c r="N15">
        <f t="shared" si="116"/>
        <v>5.4766572367666226</v>
      </c>
      <c r="O15" t="str">
        <f t="shared" si="117"/>
        <v/>
      </c>
      <c r="U15">
        <v>120</v>
      </c>
      <c r="V15">
        <v>-130</v>
      </c>
    </row>
    <row r="16">
      <c r="A16" t="s">
        <v>1268</v>
      </c>
      <c r="B16">
        <v>15</v>
      </c>
      <c r="E16">
        <v>1</v>
      </c>
      <c r="F16">
        <v>15.624145735332464</v>
      </c>
      <c r="G16">
        <v>0.19763926751683827</v>
      </c>
      <c r="H16">
        <v>1700</v>
      </c>
      <c r="N16">
        <f t="shared" si="116"/>
        <v>15.624145735332464</v>
      </c>
      <c r="O16" t="str">
        <f t="shared" si="117"/>
        <v/>
      </c>
      <c r="U16">
        <v>120</v>
      </c>
      <c r="V16">
        <v>-130</v>
      </c>
    </row>
    <row r="17">
      <c r="A17" t="s">
        <v>1269</v>
      </c>
      <c r="B17">
        <v>16</v>
      </c>
      <c r="C17" s="4">
        <v>4.0000000000000003e-05</v>
      </c>
      <c r="D17" s="4">
        <f t="shared" ref="D17:D21" si="119">C17/0.000121</f>
        <v>0.33057851239669422</v>
      </c>
      <c r="E17">
        <v>2</v>
      </c>
      <c r="F17">
        <v>20.001084150325944</v>
      </c>
      <c r="G17">
        <v>0.17869219889141766</v>
      </c>
      <c r="H17">
        <v>1700</v>
      </c>
      <c r="N17" t="str">
        <f t="shared" si="116"/>
        <v/>
      </c>
      <c r="O17">
        <f t="shared" si="117"/>
        <v>20.001084150325944</v>
      </c>
      <c r="U17">
        <v>120</v>
      </c>
      <c r="V17">
        <v>-130</v>
      </c>
    </row>
    <row r="18">
      <c r="A18" t="s">
        <v>1270</v>
      </c>
      <c r="B18">
        <v>17</v>
      </c>
      <c r="C18" s="4">
        <v>3.3000000000000003e-05</v>
      </c>
      <c r="D18" s="4">
        <f t="shared" si="119"/>
        <v>0.27272727272727276</v>
      </c>
      <c r="E18">
        <v>2</v>
      </c>
      <c r="F18">
        <v>20.084674648891784</v>
      </c>
      <c r="G18">
        <v>0.18255315222534935</v>
      </c>
      <c r="H18">
        <v>1700</v>
      </c>
      <c r="N18" t="str">
        <f t="shared" si="116"/>
        <v/>
      </c>
      <c r="O18">
        <f t="shared" si="117"/>
        <v>20.084674648891784</v>
      </c>
      <c r="U18">
        <v>120</v>
      </c>
      <c r="V18">
        <v>-130</v>
      </c>
    </row>
    <row r="19">
      <c r="A19" t="s">
        <v>1271</v>
      </c>
      <c r="B19">
        <v>18</v>
      </c>
      <c r="C19" s="4">
        <v>2.8399999999999999e-05</v>
      </c>
      <c r="D19" s="4">
        <f t="shared" si="119"/>
        <v>0.23471074380165288</v>
      </c>
      <c r="E19">
        <v>2</v>
      </c>
      <c r="F19">
        <v>20.997483147457629</v>
      </c>
      <c r="G19">
        <v>0.19431289538105795</v>
      </c>
      <c r="H19">
        <v>1700</v>
      </c>
      <c r="N19" t="str">
        <f t="shared" si="116"/>
        <v/>
      </c>
      <c r="O19">
        <f t="shared" si="117"/>
        <v>20.997483147457629</v>
      </c>
      <c r="U19">
        <v>120</v>
      </c>
      <c r="V19">
        <v>-130</v>
      </c>
    </row>
    <row r="20">
      <c r="A20" t="s">
        <v>1272</v>
      </c>
      <c r="B20">
        <v>19</v>
      </c>
      <c r="C20" s="4">
        <v>3.2100000000000001e-05</v>
      </c>
      <c r="D20" s="4">
        <f t="shared" si="119"/>
        <v>0.26528925619834709</v>
      </c>
      <c r="E20">
        <v>2</v>
      </c>
      <c r="F20">
        <v>20.942458646023468</v>
      </c>
      <c r="G20">
        <v>0.17629164630446778</v>
      </c>
      <c r="H20">
        <v>1700</v>
      </c>
      <c r="N20" t="str">
        <f t="shared" si="116"/>
        <v/>
      </c>
      <c r="O20">
        <f t="shared" si="117"/>
        <v>20.942458646023468</v>
      </c>
      <c r="U20">
        <v>120</v>
      </c>
      <c r="V20">
        <v>-130</v>
      </c>
    </row>
    <row r="21">
      <c r="A21" t="s">
        <v>1273</v>
      </c>
      <c r="B21">
        <v>20</v>
      </c>
      <c r="C21" s="4">
        <v>0.000114265</v>
      </c>
      <c r="D21" s="4">
        <f t="shared" si="119"/>
        <v>0.94433884297520665</v>
      </c>
      <c r="E21">
        <v>2</v>
      </c>
      <c r="F21">
        <v>18.68424314458931</v>
      </c>
      <c r="G21">
        <v>0.17313722022230682</v>
      </c>
      <c r="H21">
        <v>1700</v>
      </c>
      <c r="N21" t="str">
        <f t="shared" si="116"/>
        <v/>
      </c>
      <c r="O21">
        <f t="shared" si="117"/>
        <v>18.68424314458931</v>
      </c>
      <c r="U21">
        <v>120</v>
      </c>
      <c r="V21">
        <v>-130</v>
      </c>
    </row>
    <row r="22">
      <c r="A22" t="s">
        <v>1274</v>
      </c>
      <c r="B22">
        <v>21</v>
      </c>
      <c r="E22">
        <v>1</v>
      </c>
      <c r="F22">
        <v>3.6521505595827901</v>
      </c>
      <c r="G22">
        <v>0.32698143703054455</v>
      </c>
      <c r="H22">
        <v>1700</v>
      </c>
      <c r="N22">
        <f t="shared" si="116"/>
        <v>3.6521505595827901</v>
      </c>
      <c r="O22" t="str">
        <f t="shared" si="117"/>
        <v/>
      </c>
      <c r="U22">
        <v>120</v>
      </c>
      <c r="V22">
        <v>-130</v>
      </c>
    </row>
    <row r="23">
      <c r="N23" t="str">
        <f t="shared" si="116"/>
        <v/>
      </c>
      <c r="O23" t="str">
        <f t="shared" si="117"/>
        <v/>
      </c>
    </row>
    <row r="24">
      <c r="N24" t="str">
        <f t="shared" si="116"/>
        <v/>
      </c>
      <c r="O24" t="str">
        <f t="shared" si="117"/>
        <v/>
      </c>
    </row>
    <row r="25">
      <c r="N25" t="str">
        <f t="shared" si="116"/>
        <v/>
      </c>
      <c r="O25" t="str">
        <f t="shared" si="117"/>
        <v/>
      </c>
    </row>
    <row r="26">
      <c r="N26" t="str">
        <f t="shared" si="116"/>
        <v/>
      </c>
      <c r="O26" t="str">
        <f t="shared" si="117"/>
        <v/>
      </c>
    </row>
    <row r="27">
      <c r="N27" t="str">
        <f t="shared" si="116"/>
        <v/>
      </c>
      <c r="O27" t="str">
        <f t="shared" si="117"/>
        <v/>
      </c>
    </row>
    <row r="28">
      <c r="N28" t="str">
        <f t="shared" si="116"/>
        <v/>
      </c>
      <c r="O28" t="str">
        <f t="shared" si="117"/>
        <v/>
      </c>
    </row>
    <row r="29">
      <c r="N29" t="str">
        <f t="shared" si="116"/>
        <v/>
      </c>
      <c r="O29" t="str">
        <f t="shared" si="117"/>
        <v/>
      </c>
    </row>
    <row r="30">
      <c r="N30" t="str">
        <f t="shared" si="116"/>
        <v/>
      </c>
      <c r="O30" t="str">
        <f t="shared" si="117"/>
        <v/>
      </c>
    </row>
    <row r="31">
      <c r="N31" t="str">
        <f t="shared" si="116"/>
        <v/>
      </c>
      <c r="O31" t="str">
        <f t="shared" si="117"/>
        <v/>
      </c>
    </row>
    <row r="32">
      <c r="N32" t="str">
        <f t="shared" si="116"/>
        <v/>
      </c>
      <c r="O32" t="str">
        <f t="shared" si="117"/>
        <v/>
      </c>
    </row>
    <row r="33">
      <c r="N33" t="str">
        <f t="shared" si="116"/>
        <v/>
      </c>
      <c r="O33" t="str">
        <f t="shared" si="117"/>
        <v/>
      </c>
    </row>
    <row r="34">
      <c r="N34" t="str">
        <f t="shared" si="116"/>
        <v/>
      </c>
      <c r="O34" t="str">
        <f t="shared" si="117"/>
        <v/>
      </c>
    </row>
    <row r="35">
      <c r="N35" t="str">
        <f t="shared" si="116"/>
        <v/>
      </c>
      <c r="O35" t="str">
        <f t="shared" si="117"/>
        <v/>
      </c>
    </row>
    <row r="36">
      <c r="N36" t="str">
        <f t="shared" si="116"/>
        <v/>
      </c>
      <c r="O36" t="str">
        <f t="shared" si="117"/>
        <v/>
      </c>
    </row>
    <row r="37">
      <c r="N37" t="str">
        <f t="shared" si="116"/>
        <v/>
      </c>
      <c r="O37" t="str">
        <f t="shared" si="117"/>
        <v/>
      </c>
    </row>
    <row r="38">
      <c r="N38" t="str">
        <f t="shared" si="116"/>
        <v/>
      </c>
      <c r="O38" t="str">
        <f t="shared" si="117"/>
        <v/>
      </c>
    </row>
    <row r="39">
      <c r="N39" t="str">
        <f t="shared" si="116"/>
        <v/>
      </c>
      <c r="O39" t="str">
        <f t="shared" si="117"/>
        <v/>
      </c>
    </row>
    <row r="40">
      <c r="N40" t="str">
        <f t="shared" si="116"/>
        <v/>
      </c>
      <c r="O40" t="str">
        <f t="shared" si="117"/>
        <v/>
      </c>
    </row>
    <row r="41">
      <c r="N41" t="str">
        <f t="shared" si="116"/>
        <v/>
      </c>
      <c r="O41" t="str">
        <f t="shared" si="117"/>
        <v/>
      </c>
    </row>
    <row r="42">
      <c r="N42" t="str">
        <f t="shared" si="116"/>
        <v/>
      </c>
      <c r="O42" t="str">
        <f t="shared" si="117"/>
        <v/>
      </c>
    </row>
    <row r="43">
      <c r="N43" t="str">
        <f t="shared" si="116"/>
        <v/>
      </c>
      <c r="O43" t="str">
        <f t="shared" si="117"/>
        <v/>
      </c>
    </row>
    <row r="44">
      <c r="N44" t="str">
        <f t="shared" si="116"/>
        <v/>
      </c>
      <c r="O44" t="str">
        <f t="shared" si="117"/>
        <v/>
      </c>
    </row>
    <row r="45">
      <c r="N45" t="str">
        <f t="shared" si="116"/>
        <v/>
      </c>
      <c r="O45" t="str">
        <f t="shared" si="117"/>
        <v/>
      </c>
    </row>
    <row r="46">
      <c r="N46" t="str">
        <f t="shared" si="116"/>
        <v/>
      </c>
      <c r="O46" t="str">
        <f t="shared" si="117"/>
        <v/>
      </c>
    </row>
    <row r="47">
      <c r="N47" t="str">
        <f t="shared" si="116"/>
        <v/>
      </c>
      <c r="O47" t="str">
        <f t="shared" si="117"/>
        <v/>
      </c>
    </row>
    <row r="48">
      <c r="N48" t="str">
        <f t="shared" si="116"/>
        <v/>
      </c>
      <c r="O48" t="str">
        <f t="shared" si="117"/>
        <v/>
      </c>
    </row>
    <row r="49">
      <c r="N49" t="str">
        <f t="shared" si="116"/>
        <v/>
      </c>
      <c r="O49" t="str">
        <f t="shared" si="117"/>
        <v/>
      </c>
    </row>
    <row r="50">
      <c r="N50" t="str">
        <f t="shared" si="116"/>
        <v/>
      </c>
      <c r="O50" t="str">
        <f t="shared" si="117"/>
        <v/>
      </c>
    </row>
    <row r="51">
      <c r="N51" t="str">
        <f t="shared" si="116"/>
        <v/>
      </c>
      <c r="O51" t="str">
        <f t="shared" si="117"/>
        <v/>
      </c>
    </row>
    <row r="52">
      <c r="N52" t="str">
        <f t="shared" si="116"/>
        <v/>
      </c>
      <c r="O52" t="str">
        <f t="shared" si="117"/>
        <v/>
      </c>
    </row>
    <row r="53">
      <c r="N53" t="str">
        <f t="shared" si="116"/>
        <v/>
      </c>
      <c r="O53" t="str">
        <f t="shared" si="117"/>
        <v/>
      </c>
    </row>
    <row r="54">
      <c r="N54" t="str">
        <f t="shared" si="116"/>
        <v/>
      </c>
      <c r="O54" t="str">
        <f t="shared" si="117"/>
        <v/>
      </c>
    </row>
    <row r="55">
      <c r="N55" t="str">
        <f t="shared" si="116"/>
        <v/>
      </c>
      <c r="O55" t="str">
        <f t="shared" si="117"/>
        <v/>
      </c>
    </row>
    <row r="56">
      <c r="N56" t="str">
        <f t="shared" si="116"/>
        <v/>
      </c>
      <c r="O56" t="str">
        <f t="shared" si="117"/>
        <v/>
      </c>
    </row>
    <row r="57">
      <c r="N57" t="str">
        <f t="shared" si="116"/>
        <v/>
      </c>
      <c r="O57" t="str">
        <f t="shared" si="117"/>
        <v/>
      </c>
    </row>
    <row r="58">
      <c r="N58" t="str">
        <f t="shared" si="116"/>
        <v/>
      </c>
      <c r="O58" t="str">
        <f t="shared" si="117"/>
        <v/>
      </c>
    </row>
    <row r="59">
      <c r="N59" t="str">
        <f t="shared" si="116"/>
        <v/>
      </c>
      <c r="O59" t="str">
        <f t="shared" si="117"/>
        <v/>
      </c>
    </row>
    <row r="60">
      <c r="N60" t="str">
        <f t="shared" si="116"/>
        <v/>
      </c>
      <c r="O60" t="str">
        <f t="shared" si="117"/>
        <v/>
      </c>
    </row>
    <row r="61">
      <c r="N61" t="str">
        <f t="shared" si="116"/>
        <v/>
      </c>
      <c r="O61" t="str">
        <f t="shared" si="117"/>
        <v/>
      </c>
    </row>
    <row r="62">
      <c r="N62" t="str">
        <f t="shared" si="116"/>
        <v/>
      </c>
      <c r="O62" t="str">
        <f t="shared" si="117"/>
        <v/>
      </c>
    </row>
    <row r="63">
      <c r="N63" t="str">
        <f t="shared" si="116"/>
        <v/>
      </c>
      <c r="O63" t="str">
        <f t="shared" si="117"/>
        <v/>
      </c>
    </row>
    <row r="64">
      <c r="N64" t="str">
        <f t="shared" si="116"/>
        <v/>
      </c>
      <c r="O64" t="str">
        <f t="shared" si="117"/>
        <v/>
      </c>
    </row>
    <row r="65">
      <c r="N65" t="str">
        <f t="shared" si="116"/>
        <v/>
      </c>
      <c r="O65" t="str">
        <f t="shared" si="117"/>
        <v/>
      </c>
    </row>
    <row r="66">
      <c r="N66" t="str">
        <f t="shared" ref="N66:N122" si="120">IF(E66=1,F66,"")</f>
        <v/>
      </c>
      <c r="O66" t="str">
        <f t="shared" ref="O66" si="121">IF(E66=2,F66,"")</f>
        <v/>
      </c>
    </row>
    <row r="67">
      <c r="N67" t="str">
        <f t="shared" si="120"/>
        <v/>
      </c>
      <c r="O67" t="str">
        <f t="shared" ref="O67:O122" si="122">IF(E67=2,F67,"")</f>
        <v/>
      </c>
    </row>
    <row r="68">
      <c r="N68" t="str">
        <f t="shared" si="120"/>
        <v/>
      </c>
      <c r="O68" t="str">
        <f t="shared" si="122"/>
        <v/>
      </c>
    </row>
    <row r="69">
      <c r="N69" t="str">
        <f t="shared" si="120"/>
        <v/>
      </c>
      <c r="O69" t="str">
        <f t="shared" si="122"/>
        <v/>
      </c>
    </row>
    <row r="70">
      <c r="N70" t="str">
        <f t="shared" si="120"/>
        <v/>
      </c>
      <c r="O70" t="str">
        <f t="shared" si="122"/>
        <v/>
      </c>
    </row>
    <row r="71">
      <c r="N71" t="str">
        <f t="shared" si="120"/>
        <v/>
      </c>
      <c r="O71" t="str">
        <f t="shared" si="122"/>
        <v/>
      </c>
    </row>
    <row r="72">
      <c r="N72" t="str">
        <f t="shared" si="120"/>
        <v/>
      </c>
      <c r="O72" t="str">
        <f t="shared" si="122"/>
        <v/>
      </c>
    </row>
    <row r="73">
      <c r="N73" t="str">
        <f t="shared" si="120"/>
        <v/>
      </c>
      <c r="O73" t="str">
        <f t="shared" si="122"/>
        <v/>
      </c>
    </row>
    <row r="74">
      <c r="N74" t="str">
        <f t="shared" si="120"/>
        <v/>
      </c>
      <c r="O74" t="str">
        <f t="shared" si="122"/>
        <v/>
      </c>
    </row>
    <row r="75">
      <c r="N75" t="str">
        <f t="shared" si="120"/>
        <v/>
      </c>
      <c r="O75" t="str">
        <f t="shared" si="122"/>
        <v/>
      </c>
    </row>
    <row r="76">
      <c r="N76" t="str">
        <f t="shared" si="120"/>
        <v/>
      </c>
      <c r="O76" t="str">
        <f t="shared" si="122"/>
        <v/>
      </c>
    </row>
    <row r="77">
      <c r="N77" t="str">
        <f t="shared" si="120"/>
        <v/>
      </c>
      <c r="O77" t="str">
        <f t="shared" si="122"/>
        <v/>
      </c>
    </row>
    <row r="78">
      <c r="N78" t="str">
        <f t="shared" si="120"/>
        <v/>
      </c>
      <c r="O78" t="str">
        <f t="shared" si="122"/>
        <v/>
      </c>
    </row>
    <row r="79">
      <c r="N79" t="str">
        <f t="shared" si="120"/>
        <v/>
      </c>
      <c r="O79" t="str">
        <f t="shared" si="122"/>
        <v/>
      </c>
    </row>
    <row r="80">
      <c r="N80" t="str">
        <f t="shared" si="120"/>
        <v/>
      </c>
      <c r="O80" t="str">
        <f t="shared" si="122"/>
        <v/>
      </c>
    </row>
    <row r="81">
      <c r="N81" t="str">
        <f t="shared" si="120"/>
        <v/>
      </c>
      <c r="O81" t="str">
        <f t="shared" si="122"/>
        <v/>
      </c>
    </row>
    <row r="82">
      <c r="N82" t="str">
        <f t="shared" si="120"/>
        <v/>
      </c>
      <c r="O82" t="str">
        <f t="shared" si="122"/>
        <v/>
      </c>
    </row>
    <row r="83">
      <c r="N83" t="str">
        <f t="shared" si="120"/>
        <v/>
      </c>
      <c r="O83" t="str">
        <f t="shared" si="122"/>
        <v/>
      </c>
    </row>
    <row r="84">
      <c r="N84" t="str">
        <f t="shared" si="120"/>
        <v/>
      </c>
      <c r="O84" t="str">
        <f t="shared" si="122"/>
        <v/>
      </c>
    </row>
    <row r="85">
      <c r="N85" t="str">
        <f t="shared" si="120"/>
        <v/>
      </c>
      <c r="O85" t="str">
        <f t="shared" si="122"/>
        <v/>
      </c>
    </row>
    <row r="86">
      <c r="N86" t="str">
        <f t="shared" si="120"/>
        <v/>
      </c>
      <c r="O86" t="str">
        <f t="shared" si="122"/>
        <v/>
      </c>
    </row>
    <row r="87">
      <c r="N87" t="str">
        <f t="shared" si="120"/>
        <v/>
      </c>
      <c r="O87" t="str">
        <f t="shared" si="122"/>
        <v/>
      </c>
    </row>
    <row r="88">
      <c r="N88" t="str">
        <f t="shared" si="120"/>
        <v/>
      </c>
      <c r="O88" t="str">
        <f t="shared" si="122"/>
        <v/>
      </c>
    </row>
    <row r="89">
      <c r="N89" t="str">
        <f t="shared" si="120"/>
        <v/>
      </c>
      <c r="O89" t="str">
        <f t="shared" si="122"/>
        <v/>
      </c>
    </row>
    <row r="90">
      <c r="N90" t="str">
        <f t="shared" si="120"/>
        <v/>
      </c>
      <c r="O90" t="str">
        <f t="shared" si="122"/>
        <v/>
      </c>
    </row>
    <row r="91">
      <c r="N91" t="str">
        <f t="shared" si="120"/>
        <v/>
      </c>
      <c r="O91" t="str">
        <f t="shared" si="122"/>
        <v/>
      </c>
    </row>
    <row r="92">
      <c r="N92" t="str">
        <f t="shared" si="120"/>
        <v/>
      </c>
      <c r="O92" t="str">
        <f t="shared" si="122"/>
        <v/>
      </c>
    </row>
    <row r="93">
      <c r="N93" t="str">
        <f t="shared" si="120"/>
        <v/>
      </c>
      <c r="O93" t="str">
        <f t="shared" si="122"/>
        <v/>
      </c>
    </row>
    <row r="94">
      <c r="N94" t="str">
        <f t="shared" si="120"/>
        <v/>
      </c>
      <c r="O94" t="str">
        <f t="shared" si="122"/>
        <v/>
      </c>
    </row>
    <row r="95">
      <c r="N95" t="str">
        <f t="shared" si="120"/>
        <v/>
      </c>
      <c r="O95" t="str">
        <f t="shared" si="122"/>
        <v/>
      </c>
    </row>
    <row r="96">
      <c r="N96" t="str">
        <f t="shared" si="120"/>
        <v/>
      </c>
      <c r="O96" t="str">
        <f t="shared" si="122"/>
        <v/>
      </c>
    </row>
    <row r="97">
      <c r="N97" t="str">
        <f t="shared" si="120"/>
        <v/>
      </c>
      <c r="O97" t="str">
        <f t="shared" si="122"/>
        <v/>
      </c>
    </row>
    <row r="98">
      <c r="N98" t="str">
        <f t="shared" si="120"/>
        <v/>
      </c>
      <c r="O98" t="str">
        <f t="shared" si="122"/>
        <v/>
      </c>
    </row>
    <row r="99">
      <c r="N99" t="str">
        <f t="shared" si="120"/>
        <v/>
      </c>
      <c r="O99" t="str">
        <f t="shared" si="122"/>
        <v/>
      </c>
    </row>
    <row r="100">
      <c r="N100" t="str">
        <f t="shared" si="120"/>
        <v/>
      </c>
      <c r="O100" t="str">
        <f t="shared" si="122"/>
        <v/>
      </c>
    </row>
    <row r="101">
      <c r="N101" t="str">
        <f t="shared" si="120"/>
        <v/>
      </c>
      <c r="O101" t="str">
        <f t="shared" si="122"/>
        <v/>
      </c>
    </row>
    <row r="102">
      <c r="N102" t="str">
        <f t="shared" si="120"/>
        <v/>
      </c>
      <c r="O102" t="str">
        <f t="shared" si="122"/>
        <v/>
      </c>
    </row>
    <row r="103">
      <c r="N103" t="str">
        <f t="shared" si="120"/>
        <v/>
      </c>
      <c r="O103" t="str">
        <f t="shared" si="122"/>
        <v/>
      </c>
    </row>
    <row r="104">
      <c r="N104" t="str">
        <f t="shared" si="120"/>
        <v/>
      </c>
      <c r="O104" t="str">
        <f t="shared" si="122"/>
        <v/>
      </c>
    </row>
    <row r="105">
      <c r="N105" t="str">
        <f t="shared" si="120"/>
        <v/>
      </c>
      <c r="O105" t="str">
        <f t="shared" si="122"/>
        <v/>
      </c>
    </row>
    <row r="106">
      <c r="N106" t="str">
        <f t="shared" si="120"/>
        <v/>
      </c>
      <c r="O106" t="str">
        <f t="shared" si="122"/>
        <v/>
      </c>
    </row>
    <row r="107">
      <c r="N107" t="str">
        <f t="shared" si="120"/>
        <v/>
      </c>
      <c r="O107" t="str">
        <f t="shared" si="122"/>
        <v/>
      </c>
    </row>
    <row r="108">
      <c r="N108" t="str">
        <f t="shared" si="120"/>
        <v/>
      </c>
      <c r="O108" t="str">
        <f t="shared" si="122"/>
        <v/>
      </c>
    </row>
    <row r="109">
      <c r="N109" t="str">
        <f t="shared" si="120"/>
        <v/>
      </c>
      <c r="O109" t="str">
        <f t="shared" si="122"/>
        <v/>
      </c>
    </row>
    <row r="110">
      <c r="N110" t="str">
        <f t="shared" si="120"/>
        <v/>
      </c>
      <c r="O110" t="str">
        <f t="shared" si="122"/>
        <v/>
      </c>
    </row>
    <row r="111">
      <c r="N111" t="str">
        <f t="shared" si="120"/>
        <v/>
      </c>
      <c r="O111" t="str">
        <f t="shared" si="122"/>
        <v/>
      </c>
    </row>
    <row r="112">
      <c r="N112" t="str">
        <f t="shared" si="120"/>
        <v/>
      </c>
      <c r="O112" t="str">
        <f t="shared" si="122"/>
        <v/>
      </c>
    </row>
    <row r="113">
      <c r="N113" t="str">
        <f t="shared" si="120"/>
        <v/>
      </c>
      <c r="O113" t="str">
        <f t="shared" si="122"/>
        <v/>
      </c>
    </row>
    <row r="114">
      <c r="N114" t="str">
        <f t="shared" si="120"/>
        <v/>
      </c>
      <c r="O114" t="str">
        <f t="shared" si="122"/>
        <v/>
      </c>
    </row>
    <row r="115">
      <c r="N115" t="str">
        <f t="shared" si="120"/>
        <v/>
      </c>
      <c r="O115" t="str">
        <f t="shared" si="122"/>
        <v/>
      </c>
    </row>
    <row r="116">
      <c r="N116" t="str">
        <f t="shared" si="120"/>
        <v/>
      </c>
      <c r="O116" t="str">
        <f t="shared" si="122"/>
        <v/>
      </c>
    </row>
    <row r="117">
      <c r="N117" t="str">
        <f t="shared" si="120"/>
        <v/>
      </c>
      <c r="O117" t="str">
        <f t="shared" si="122"/>
        <v/>
      </c>
    </row>
    <row r="118">
      <c r="N118" t="str">
        <f t="shared" si="120"/>
        <v/>
      </c>
      <c r="O118" t="str">
        <f t="shared" si="122"/>
        <v/>
      </c>
    </row>
    <row r="119">
      <c r="N119" t="str">
        <f t="shared" si="120"/>
        <v/>
      </c>
      <c r="O119" t="str">
        <f t="shared" si="122"/>
        <v/>
      </c>
    </row>
    <row r="120">
      <c r="N120" t="str">
        <f t="shared" si="120"/>
        <v/>
      </c>
      <c r="O120" t="str">
        <f t="shared" si="122"/>
        <v/>
      </c>
    </row>
    <row r="121">
      <c r="N121" t="str">
        <f t="shared" si="120"/>
        <v/>
      </c>
      <c r="O121" t="str">
        <f t="shared" si="122"/>
        <v/>
      </c>
    </row>
    <row r="122">
      <c r="N122" t="str">
        <f t="shared" si="120"/>
        <v/>
      </c>
      <c r="O122" t="str">
        <f t="shared" si="122"/>
        <v/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I1"/>
    </sheetView>
  </sheetViews>
  <sheetFormatPr baseColWidth="10" defaultRowHeight="15"/>
  <sheetData>
    <row r="1">
      <c r="A1" t="s">
        <v>9</v>
      </c>
      <c r="B1" t="s">
        <v>10</v>
      </c>
      <c r="C1">
        <v>-25</v>
      </c>
      <c r="D1">
        <v>0</v>
      </c>
      <c r="E1" t="s">
        <v>11</v>
      </c>
      <c r="F1" t="s">
        <v>10</v>
      </c>
      <c r="G1">
        <v>0</v>
      </c>
      <c r="H1" t="s">
        <v>12</v>
      </c>
      <c r="I1" t="s">
        <v>13</v>
      </c>
    </row>
    <row r="2">
      <c r="A2" t="s">
        <v>14</v>
      </c>
      <c r="B2" t="s">
        <v>15</v>
      </c>
      <c r="C2">
        <v>-25</v>
      </c>
      <c r="D2">
        <v>0</v>
      </c>
      <c r="E2" t="s">
        <v>11</v>
      </c>
      <c r="F2" t="s">
        <v>15</v>
      </c>
      <c r="G2">
        <v>0</v>
      </c>
      <c r="H2" t="s">
        <v>12</v>
      </c>
      <c r="I2" t="s">
        <v>13</v>
      </c>
    </row>
    <row r="3">
      <c r="A3" t="s">
        <v>16</v>
      </c>
      <c r="B3" t="s">
        <v>17</v>
      </c>
      <c r="C3">
        <v>-25</v>
      </c>
      <c r="D3">
        <v>0</v>
      </c>
      <c r="E3" t="s">
        <v>11</v>
      </c>
      <c r="F3" t="s">
        <v>17</v>
      </c>
      <c r="G3">
        <v>0</v>
      </c>
      <c r="H3" t="s">
        <v>12</v>
      </c>
      <c r="I3" t="s">
        <v>13</v>
      </c>
    </row>
    <row r="4">
      <c r="A4" t="s">
        <v>18</v>
      </c>
      <c r="B4" t="s">
        <v>19</v>
      </c>
      <c r="C4">
        <v>-25</v>
      </c>
      <c r="D4">
        <v>0</v>
      </c>
      <c r="E4" t="s">
        <v>6</v>
      </c>
      <c r="G4">
        <v>-570</v>
      </c>
    </row>
    <row r="5">
      <c r="A5" t="s">
        <v>20</v>
      </c>
      <c r="B5" t="s">
        <v>21</v>
      </c>
      <c r="C5">
        <v>-25</v>
      </c>
      <c r="D5">
        <v>0</v>
      </c>
      <c r="E5" t="s">
        <v>11</v>
      </c>
      <c r="F5" t="s">
        <v>21</v>
      </c>
      <c r="G5">
        <v>20</v>
      </c>
      <c r="H5" t="s">
        <v>22</v>
      </c>
      <c r="I5" t="s">
        <v>23</v>
      </c>
    </row>
    <row r="6">
      <c r="A6" t="s">
        <v>24</v>
      </c>
      <c r="B6" t="s">
        <v>25</v>
      </c>
      <c r="C6">
        <v>-25</v>
      </c>
      <c r="D6">
        <v>0</v>
      </c>
      <c r="E6" t="s">
        <v>11</v>
      </c>
      <c r="F6" t="s">
        <v>25</v>
      </c>
      <c r="G6">
        <v>50</v>
      </c>
      <c r="H6" t="s">
        <v>22</v>
      </c>
      <c r="I6" t="s">
        <v>23</v>
      </c>
    </row>
    <row r="7">
      <c r="A7" t="s">
        <v>92</v>
      </c>
      <c r="B7" t="s">
        <v>27</v>
      </c>
      <c r="C7">
        <v>-25</v>
      </c>
      <c r="D7">
        <v>0</v>
      </c>
      <c r="E7" t="s">
        <v>11</v>
      </c>
      <c r="F7" t="s">
        <v>27</v>
      </c>
      <c r="G7">
        <v>60</v>
      </c>
      <c r="H7" t="s">
        <v>22</v>
      </c>
      <c r="I7" t="s">
        <v>13</v>
      </c>
    </row>
    <row r="8">
      <c r="A8" t="s">
        <v>93</v>
      </c>
      <c r="B8" t="s">
        <v>29</v>
      </c>
      <c r="C8">
        <v>-25</v>
      </c>
      <c r="D8">
        <v>0</v>
      </c>
      <c r="E8" t="s">
        <v>11</v>
      </c>
      <c r="F8" t="s">
        <v>29</v>
      </c>
      <c r="G8">
        <v>70</v>
      </c>
      <c r="H8" t="s">
        <v>30</v>
      </c>
      <c r="I8" t="s">
        <v>23</v>
      </c>
    </row>
    <row r="9">
      <c r="A9" t="s">
        <v>94</v>
      </c>
      <c r="B9" t="s">
        <v>32</v>
      </c>
      <c r="C9">
        <v>-25</v>
      </c>
      <c r="D9">
        <v>0</v>
      </c>
      <c r="E9" t="s">
        <v>11</v>
      </c>
      <c r="F9" t="s">
        <v>32</v>
      </c>
      <c r="G9">
        <v>50</v>
      </c>
      <c r="H9" t="s">
        <v>30</v>
      </c>
      <c r="I9" t="s">
        <v>23</v>
      </c>
    </row>
    <row r="10">
      <c r="A10" t="s">
        <v>33</v>
      </c>
      <c r="B10" t="s">
        <v>34</v>
      </c>
      <c r="C10">
        <v>-25</v>
      </c>
      <c r="D10">
        <v>0</v>
      </c>
      <c r="E10" t="s">
        <v>11</v>
      </c>
      <c r="F10" t="s">
        <v>34</v>
      </c>
      <c r="G10">
        <v>50</v>
      </c>
      <c r="H10" t="s">
        <v>30</v>
      </c>
      <c r="I10" t="s">
        <v>35</v>
      </c>
    </row>
    <row r="11">
      <c r="A11" t="s">
        <v>36</v>
      </c>
      <c r="B11" t="s">
        <v>37</v>
      </c>
      <c r="C11">
        <v>-25</v>
      </c>
      <c r="D11">
        <v>0</v>
      </c>
      <c r="E11" t="s">
        <v>6</v>
      </c>
      <c r="F11" t="s">
        <v>38</v>
      </c>
      <c r="G11">
        <v>-1150</v>
      </c>
    </row>
    <row r="12">
      <c r="A12" t="s">
        <v>39</v>
      </c>
      <c r="B12" t="s">
        <v>40</v>
      </c>
      <c r="C12">
        <v>-25</v>
      </c>
      <c r="D12">
        <v>0</v>
      </c>
      <c r="E12" t="s">
        <v>41</v>
      </c>
    </row>
    <row r="13">
      <c r="A13" t="s">
        <v>42</v>
      </c>
      <c r="B13" t="s">
        <v>43</v>
      </c>
      <c r="C13">
        <v>-25</v>
      </c>
      <c r="D13">
        <v>0</v>
      </c>
      <c r="E13" t="s">
        <v>11</v>
      </c>
      <c r="F13" t="s">
        <v>44</v>
      </c>
      <c r="G13">
        <v>200</v>
      </c>
      <c r="H13" t="s">
        <v>45</v>
      </c>
      <c r="I13" t="s">
        <v>35</v>
      </c>
    </row>
    <row r="14">
      <c r="A14" t="s">
        <v>46</v>
      </c>
      <c r="B14" t="s">
        <v>47</v>
      </c>
      <c r="C14">
        <v>-25</v>
      </c>
      <c r="D14">
        <v>0</v>
      </c>
      <c r="E14" t="s">
        <v>11</v>
      </c>
      <c r="F14" t="s">
        <v>48</v>
      </c>
      <c r="G14">
        <v>200</v>
      </c>
      <c r="H14" t="s">
        <v>45</v>
      </c>
      <c r="I14" t="s">
        <v>49</v>
      </c>
    </row>
    <row r="15">
      <c r="A15" t="s">
        <v>50</v>
      </c>
      <c r="B15" t="s">
        <v>51</v>
      </c>
      <c r="C15">
        <v>-25</v>
      </c>
      <c r="D15">
        <v>0</v>
      </c>
      <c r="E15" t="s">
        <v>11</v>
      </c>
      <c r="F15" t="s">
        <v>52</v>
      </c>
      <c r="G15">
        <v>350</v>
      </c>
      <c r="H15" t="s">
        <v>53</v>
      </c>
      <c r="I15" t="s">
        <v>13</v>
      </c>
    </row>
    <row r="16">
      <c r="A16" t="s">
        <v>54</v>
      </c>
      <c r="B16" t="s">
        <v>55</v>
      </c>
      <c r="C16">
        <v>-25</v>
      </c>
      <c r="D16">
        <v>0</v>
      </c>
      <c r="E16" t="s">
        <v>11</v>
      </c>
      <c r="F16" t="s">
        <v>56</v>
      </c>
      <c r="G16">
        <v>400</v>
      </c>
      <c r="H16" t="s">
        <v>45</v>
      </c>
      <c r="I16" t="s">
        <v>13</v>
      </c>
    </row>
    <row r="17">
      <c r="A17" t="s">
        <v>57</v>
      </c>
      <c r="B17" t="s">
        <v>58</v>
      </c>
      <c r="C17">
        <v>-25</v>
      </c>
      <c r="D17">
        <v>0</v>
      </c>
      <c r="E17" t="s">
        <v>11</v>
      </c>
      <c r="F17" t="s">
        <v>59</v>
      </c>
      <c r="G17">
        <v>0</v>
      </c>
      <c r="H17" t="s">
        <v>60</v>
      </c>
      <c r="I17" t="s">
        <v>23</v>
      </c>
    </row>
    <row r="18">
      <c r="A18" t="s">
        <v>61</v>
      </c>
      <c r="B18" t="s">
        <v>62</v>
      </c>
      <c r="C18">
        <v>-25</v>
      </c>
      <c r="D18">
        <v>0</v>
      </c>
      <c r="E18" t="s">
        <v>11</v>
      </c>
      <c r="F18" t="s">
        <v>63</v>
      </c>
      <c r="G18">
        <v>0</v>
      </c>
      <c r="H18" t="s">
        <v>64</v>
      </c>
      <c r="I18" t="s">
        <v>49</v>
      </c>
    </row>
    <row r="19">
      <c r="A19" t="s">
        <v>65</v>
      </c>
      <c r="B19" t="s">
        <v>66</v>
      </c>
      <c r="C19">
        <v>-25</v>
      </c>
      <c r="D19">
        <v>0</v>
      </c>
      <c r="E19" t="s">
        <v>11</v>
      </c>
      <c r="F19" t="s">
        <v>67</v>
      </c>
      <c r="G19">
        <v>0</v>
      </c>
      <c r="H19" t="s">
        <v>68</v>
      </c>
      <c r="I19" t="s">
        <v>13</v>
      </c>
    </row>
    <row r="20">
      <c r="A20" t="s">
        <v>69</v>
      </c>
      <c r="B20" t="s">
        <v>70</v>
      </c>
      <c r="C20">
        <v>-25</v>
      </c>
      <c r="D20">
        <v>0</v>
      </c>
      <c r="E20" t="s">
        <v>6</v>
      </c>
      <c r="F20" t="s">
        <v>71</v>
      </c>
      <c r="G20">
        <v>-70</v>
      </c>
    </row>
    <row r="21">
      <c r="A21" t="s">
        <v>72</v>
      </c>
      <c r="B21" t="s">
        <v>73</v>
      </c>
      <c r="C21">
        <v>-25</v>
      </c>
      <c r="D21">
        <v>0</v>
      </c>
      <c r="E21" t="s">
        <v>11</v>
      </c>
      <c r="F21" t="s">
        <v>73</v>
      </c>
      <c r="G21">
        <v>170</v>
      </c>
      <c r="H21" t="s">
        <v>68</v>
      </c>
      <c r="I21" t="s">
        <v>13</v>
      </c>
    </row>
    <row r="22">
      <c r="A22" t="s">
        <v>74</v>
      </c>
      <c r="B22" t="s">
        <v>75</v>
      </c>
      <c r="C22">
        <v>-25</v>
      </c>
      <c r="D22">
        <v>0</v>
      </c>
      <c r="E22" t="s">
        <v>11</v>
      </c>
      <c r="F22" t="s">
        <v>75</v>
      </c>
      <c r="G22">
        <v>45</v>
      </c>
      <c r="H22" t="s">
        <v>68</v>
      </c>
      <c r="I22" t="s">
        <v>13</v>
      </c>
    </row>
    <row r="23">
      <c r="A23" t="s">
        <v>76</v>
      </c>
      <c r="B23" t="s">
        <v>77</v>
      </c>
      <c r="C23">
        <v>-25</v>
      </c>
      <c r="D23">
        <v>0</v>
      </c>
      <c r="E23" t="s">
        <v>11</v>
      </c>
      <c r="F23" t="s">
        <v>77</v>
      </c>
      <c r="G23">
        <v>25</v>
      </c>
      <c r="H23" t="s">
        <v>78</v>
      </c>
      <c r="I23" t="s">
        <v>13</v>
      </c>
    </row>
    <row r="24">
      <c r="A24" t="s">
        <v>79</v>
      </c>
      <c r="B24" t="s">
        <v>80</v>
      </c>
      <c r="C24">
        <v>-25</v>
      </c>
      <c r="D24">
        <v>0</v>
      </c>
      <c r="E24" t="s">
        <v>11</v>
      </c>
      <c r="F24" t="s">
        <v>80</v>
      </c>
      <c r="G24">
        <v>50</v>
      </c>
      <c r="H24" t="s">
        <v>78</v>
      </c>
      <c r="I24" t="s">
        <v>13</v>
      </c>
    </row>
    <row r="25">
      <c r="A25" t="s">
        <v>81</v>
      </c>
      <c r="B25" t="s">
        <v>82</v>
      </c>
      <c r="C25">
        <v>-25</v>
      </c>
      <c r="D25">
        <v>0</v>
      </c>
      <c r="E25" t="s">
        <v>11</v>
      </c>
      <c r="F25" t="s">
        <v>82</v>
      </c>
      <c r="G25">
        <v>50</v>
      </c>
      <c r="H25" t="s">
        <v>78</v>
      </c>
      <c r="I25" t="s">
        <v>13</v>
      </c>
    </row>
    <row r="26">
      <c r="A26" t="s">
        <v>83</v>
      </c>
      <c r="B26" t="s">
        <v>84</v>
      </c>
      <c r="C26">
        <v>-25</v>
      </c>
      <c r="D26">
        <v>25</v>
      </c>
      <c r="E26" t="s">
        <v>11</v>
      </c>
      <c r="F26" t="s">
        <v>84</v>
      </c>
      <c r="H26" t="s">
        <v>85</v>
      </c>
      <c r="I26" t="s">
        <v>13</v>
      </c>
    </row>
    <row r="27">
      <c r="A27" t="s">
        <v>86</v>
      </c>
      <c r="B27" t="s">
        <v>87</v>
      </c>
      <c r="C27">
        <v>0</v>
      </c>
      <c r="D27">
        <v>275</v>
      </c>
      <c r="E27" t="s">
        <v>11</v>
      </c>
      <c r="F27" t="s">
        <v>87</v>
      </c>
      <c r="H27" t="s">
        <v>85</v>
      </c>
      <c r="I27" t="s">
        <v>13</v>
      </c>
    </row>
    <row r="28">
      <c r="A28" t="s">
        <v>88</v>
      </c>
      <c r="B28" t="s">
        <v>89</v>
      </c>
      <c r="C28">
        <v>275</v>
      </c>
      <c r="D28">
        <v>50</v>
      </c>
      <c r="E28" t="s">
        <v>11</v>
      </c>
      <c r="F28" t="s">
        <v>89</v>
      </c>
      <c r="H28" t="s">
        <v>85</v>
      </c>
      <c r="I28" t="s">
        <v>13</v>
      </c>
    </row>
    <row r="29">
      <c r="A29" t="s">
        <v>90</v>
      </c>
      <c r="B29" t="s">
        <v>91</v>
      </c>
      <c r="C29">
        <v>325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" zoomScale="100" workbookViewId="0">
      <selection activeCell="A1" activeCellId="0" sqref="1:1"/>
    </sheetView>
  </sheetViews>
  <sheetFormatPr baseColWidth="10" defaultRowHeight="15"/>
  <sheetData>
    <row r="1">
      <c r="A1" t="s">
        <v>9</v>
      </c>
      <c r="B1" t="s">
        <v>10</v>
      </c>
      <c r="C1">
        <v>-25</v>
      </c>
      <c r="D1">
        <v>25</v>
      </c>
      <c r="E1" t="s">
        <v>11</v>
      </c>
      <c r="F1" t="s">
        <v>10</v>
      </c>
      <c r="H1" t="s">
        <v>12</v>
      </c>
      <c r="I1" t="s">
        <v>13</v>
      </c>
    </row>
    <row r="2">
      <c r="A2" t="s">
        <v>14</v>
      </c>
      <c r="B2" t="s">
        <v>15</v>
      </c>
      <c r="C2">
        <v>0</v>
      </c>
      <c r="D2">
        <v>25</v>
      </c>
      <c r="E2" t="s">
        <v>11</v>
      </c>
      <c r="F2" t="s">
        <v>15</v>
      </c>
      <c r="H2" t="s">
        <v>12</v>
      </c>
      <c r="I2" t="s">
        <v>13</v>
      </c>
    </row>
    <row r="3">
      <c r="A3" t="s">
        <v>16</v>
      </c>
      <c r="B3" t="s">
        <v>17</v>
      </c>
      <c r="C3">
        <v>25</v>
      </c>
      <c r="D3">
        <v>0</v>
      </c>
      <c r="E3" t="s">
        <v>11</v>
      </c>
      <c r="F3" t="s">
        <v>17</v>
      </c>
      <c r="H3" t="s">
        <v>12</v>
      </c>
      <c r="I3" t="s">
        <v>13</v>
      </c>
    </row>
    <row r="4">
      <c r="A4" t="s">
        <v>18</v>
      </c>
      <c r="B4" t="s">
        <v>19</v>
      </c>
      <c r="C4">
        <v>25</v>
      </c>
      <c r="D4">
        <v>0</v>
      </c>
      <c r="E4" t="s">
        <v>6</v>
      </c>
      <c r="G4">
        <v>-50</v>
      </c>
    </row>
    <row r="5">
      <c r="A5" t="s">
        <v>20</v>
      </c>
      <c r="B5" t="s">
        <v>21</v>
      </c>
      <c r="C5">
        <v>25</v>
      </c>
      <c r="D5">
        <v>0</v>
      </c>
      <c r="E5" t="s">
        <v>11</v>
      </c>
      <c r="F5" t="s">
        <v>21</v>
      </c>
      <c r="G5">
        <v>50</v>
      </c>
      <c r="H5" t="s">
        <v>22</v>
      </c>
      <c r="I5" t="s">
        <v>23</v>
      </c>
    </row>
    <row r="6">
      <c r="A6" t="s">
        <v>24</v>
      </c>
      <c r="B6" t="s">
        <v>25</v>
      </c>
      <c r="C6">
        <v>25</v>
      </c>
      <c r="D6">
        <v>0</v>
      </c>
      <c r="E6" t="s">
        <v>11</v>
      </c>
      <c r="F6" t="s">
        <v>25</v>
      </c>
      <c r="H6" t="s">
        <v>22</v>
      </c>
      <c r="I6" t="s">
        <v>23</v>
      </c>
    </row>
    <row r="7">
      <c r="A7" t="s">
        <v>92</v>
      </c>
      <c r="B7" t="s">
        <v>27</v>
      </c>
      <c r="C7">
        <v>25</v>
      </c>
      <c r="D7">
        <v>425</v>
      </c>
      <c r="E7" t="s">
        <v>11</v>
      </c>
      <c r="F7" t="s">
        <v>27</v>
      </c>
      <c r="H7" t="s">
        <v>22</v>
      </c>
      <c r="I7" t="s">
        <v>13</v>
      </c>
    </row>
    <row r="8">
      <c r="A8" t="s">
        <v>93</v>
      </c>
      <c r="B8" t="s">
        <v>29</v>
      </c>
      <c r="C8">
        <v>450</v>
      </c>
      <c r="D8">
        <v>275</v>
      </c>
      <c r="E8" t="s">
        <v>11</v>
      </c>
      <c r="F8" t="s">
        <v>29</v>
      </c>
      <c r="H8" t="s">
        <v>30</v>
      </c>
      <c r="I8" t="s">
        <v>23</v>
      </c>
    </row>
    <row r="9">
      <c r="A9" t="s">
        <v>94</v>
      </c>
      <c r="B9" t="s">
        <v>32</v>
      </c>
      <c r="C9">
        <v>725</v>
      </c>
      <c r="D9">
        <v>200</v>
      </c>
      <c r="E9" t="s">
        <v>11</v>
      </c>
      <c r="F9" t="s">
        <v>32</v>
      </c>
      <c r="H9" t="s">
        <v>30</v>
      </c>
      <c r="I9" t="s">
        <v>23</v>
      </c>
    </row>
    <row r="10">
      <c r="A10" t="s">
        <v>33</v>
      </c>
      <c r="B10" t="s">
        <v>34</v>
      </c>
      <c r="C10">
        <v>925</v>
      </c>
      <c r="D10">
        <v>210</v>
      </c>
      <c r="E10" t="s">
        <v>11</v>
      </c>
      <c r="F10" t="s">
        <v>34</v>
      </c>
      <c r="H10" t="s">
        <v>30</v>
      </c>
      <c r="I10" t="s">
        <v>35</v>
      </c>
    </row>
    <row r="11">
      <c r="A11" t="s">
        <v>36</v>
      </c>
      <c r="B11" t="s">
        <v>37</v>
      </c>
      <c r="C11">
        <v>1135</v>
      </c>
      <c r="D11">
        <v>0</v>
      </c>
      <c r="E11" t="s">
        <v>6</v>
      </c>
      <c r="F11" t="s">
        <v>38</v>
      </c>
      <c r="G11">
        <v>-1150</v>
      </c>
    </row>
    <row r="12">
      <c r="A12" t="s">
        <v>39</v>
      </c>
      <c r="B12" t="s">
        <v>40</v>
      </c>
      <c r="C12">
        <v>1135</v>
      </c>
      <c r="D12">
        <v>0</v>
      </c>
      <c r="E12" t="s">
        <v>41</v>
      </c>
    </row>
    <row r="13">
      <c r="A13" t="s">
        <v>42</v>
      </c>
      <c r="B13" t="s">
        <v>43</v>
      </c>
      <c r="C13">
        <v>1135</v>
      </c>
      <c r="D13">
        <v>0</v>
      </c>
      <c r="E13" t="s">
        <v>11</v>
      </c>
      <c r="F13" t="s">
        <v>44</v>
      </c>
      <c r="G13">
        <v>200</v>
      </c>
      <c r="H13" t="s">
        <v>45</v>
      </c>
      <c r="I13" t="s">
        <v>35</v>
      </c>
    </row>
    <row r="14">
      <c r="A14" t="s">
        <v>46</v>
      </c>
      <c r="B14" t="s">
        <v>47</v>
      </c>
      <c r="C14">
        <v>1135</v>
      </c>
      <c r="D14">
        <v>0</v>
      </c>
      <c r="E14" t="s">
        <v>11</v>
      </c>
      <c r="F14" t="s">
        <v>48</v>
      </c>
      <c r="G14">
        <v>200</v>
      </c>
      <c r="H14" t="s">
        <v>45</v>
      </c>
      <c r="I14" t="s">
        <v>49</v>
      </c>
    </row>
    <row r="15">
      <c r="A15" t="s">
        <v>50</v>
      </c>
      <c r="B15" t="s">
        <v>51</v>
      </c>
      <c r="C15">
        <v>1135</v>
      </c>
      <c r="D15">
        <v>0</v>
      </c>
      <c r="E15" t="s">
        <v>11</v>
      </c>
      <c r="F15" t="s">
        <v>52</v>
      </c>
      <c r="G15">
        <v>350</v>
      </c>
      <c r="H15" t="s">
        <v>53</v>
      </c>
      <c r="I15" t="s">
        <v>13</v>
      </c>
    </row>
    <row r="16">
      <c r="A16" t="s">
        <v>54</v>
      </c>
      <c r="B16" t="s">
        <v>55</v>
      </c>
      <c r="C16">
        <v>1135</v>
      </c>
      <c r="D16">
        <v>90</v>
      </c>
      <c r="E16" t="s">
        <v>11</v>
      </c>
      <c r="F16" t="s">
        <v>56</v>
      </c>
      <c r="G16">
        <v>400</v>
      </c>
      <c r="H16" t="s">
        <v>45</v>
      </c>
      <c r="I16" t="s">
        <v>13</v>
      </c>
    </row>
    <row r="17">
      <c r="A17" t="s">
        <v>57</v>
      </c>
      <c r="B17" t="s">
        <v>58</v>
      </c>
      <c r="C17">
        <v>1225</v>
      </c>
      <c r="D17">
        <v>70</v>
      </c>
      <c r="E17" t="s">
        <v>11</v>
      </c>
      <c r="F17" t="s">
        <v>59</v>
      </c>
      <c r="G17">
        <v>0</v>
      </c>
      <c r="H17" t="s">
        <v>60</v>
      </c>
      <c r="I17" t="s">
        <v>23</v>
      </c>
    </row>
    <row r="18">
      <c r="A18" t="s">
        <v>61</v>
      </c>
      <c r="B18" t="s">
        <v>62</v>
      </c>
      <c r="C18">
        <v>1295</v>
      </c>
      <c r="D18">
        <v>130</v>
      </c>
      <c r="E18" t="s">
        <v>11</v>
      </c>
      <c r="F18" t="s">
        <v>63</v>
      </c>
      <c r="G18">
        <v>0</v>
      </c>
      <c r="H18" t="s">
        <v>64</v>
      </c>
      <c r="I18" t="s">
        <v>49</v>
      </c>
    </row>
    <row r="19">
      <c r="A19" t="s">
        <v>65</v>
      </c>
      <c r="B19" t="s">
        <v>66</v>
      </c>
      <c r="C19">
        <v>1425</v>
      </c>
      <c r="D19">
        <v>10</v>
      </c>
      <c r="E19" t="s">
        <v>11</v>
      </c>
      <c r="F19" t="s">
        <v>67</v>
      </c>
      <c r="G19">
        <v>0</v>
      </c>
      <c r="H19" t="s">
        <v>68</v>
      </c>
      <c r="I19" t="s">
        <v>13</v>
      </c>
    </row>
    <row r="20">
      <c r="A20" t="s">
        <v>69</v>
      </c>
      <c r="B20" t="s">
        <v>70</v>
      </c>
      <c r="C20">
        <v>1435</v>
      </c>
      <c r="D20">
        <v>0</v>
      </c>
      <c r="E20" t="s">
        <v>6</v>
      </c>
      <c r="F20" t="s">
        <v>71</v>
      </c>
      <c r="G20">
        <v>-50</v>
      </c>
    </row>
    <row r="21">
      <c r="A21" t="s">
        <v>72</v>
      </c>
      <c r="B21" t="s">
        <v>73</v>
      </c>
      <c r="C21">
        <v>1435</v>
      </c>
      <c r="D21">
        <v>170</v>
      </c>
      <c r="E21" t="s">
        <v>11</v>
      </c>
      <c r="F21" t="s">
        <v>73</v>
      </c>
      <c r="G21">
        <v>50</v>
      </c>
      <c r="H21" t="s">
        <v>68</v>
      </c>
      <c r="I21" t="s">
        <v>13</v>
      </c>
    </row>
    <row r="22">
      <c r="A22" t="s">
        <v>74</v>
      </c>
      <c r="B22" t="s">
        <v>75</v>
      </c>
      <c r="C22">
        <v>1605</v>
      </c>
      <c r="D22">
        <v>45</v>
      </c>
      <c r="E22" t="s">
        <v>11</v>
      </c>
      <c r="F22" t="s">
        <v>75</v>
      </c>
      <c r="G22">
        <v>0</v>
      </c>
      <c r="H22" t="s">
        <v>68</v>
      </c>
      <c r="I22" t="s">
        <v>13</v>
      </c>
    </row>
    <row r="23">
      <c r="A23" t="s">
        <v>76</v>
      </c>
      <c r="B23" t="s">
        <v>77</v>
      </c>
      <c r="C23">
        <v>1650</v>
      </c>
      <c r="D23">
        <v>25</v>
      </c>
      <c r="E23" t="s">
        <v>11</v>
      </c>
      <c r="F23" t="s">
        <v>77</v>
      </c>
      <c r="H23" t="s">
        <v>78</v>
      </c>
      <c r="I23" t="s">
        <v>13</v>
      </c>
    </row>
    <row r="24">
      <c r="A24" t="s">
        <v>79</v>
      </c>
      <c r="B24" t="s">
        <v>80</v>
      </c>
      <c r="C24">
        <v>1675</v>
      </c>
      <c r="D24">
        <v>50</v>
      </c>
      <c r="E24" t="s">
        <v>11</v>
      </c>
      <c r="F24" t="s">
        <v>80</v>
      </c>
      <c r="H24" t="s">
        <v>78</v>
      </c>
      <c r="I24" t="s">
        <v>13</v>
      </c>
    </row>
    <row r="25">
      <c r="A25" t="s">
        <v>81</v>
      </c>
      <c r="B25" t="s">
        <v>82</v>
      </c>
      <c r="C25">
        <v>1725</v>
      </c>
      <c r="D25">
        <v>50</v>
      </c>
      <c r="E25" t="s">
        <v>11</v>
      </c>
      <c r="F25" t="s">
        <v>82</v>
      </c>
      <c r="H25" t="s">
        <v>78</v>
      </c>
      <c r="I25" t="s">
        <v>13</v>
      </c>
    </row>
    <row r="26">
      <c r="A26" t="s">
        <v>83</v>
      </c>
      <c r="B26" t="s">
        <v>84</v>
      </c>
      <c r="C26">
        <v>1775</v>
      </c>
      <c r="D26">
        <v>75</v>
      </c>
      <c r="E26" t="s">
        <v>11</v>
      </c>
      <c r="F26" t="s">
        <v>84</v>
      </c>
      <c r="H26" t="s">
        <v>85</v>
      </c>
      <c r="I26" t="s">
        <v>13</v>
      </c>
    </row>
    <row r="27">
      <c r="A27" t="s">
        <v>86</v>
      </c>
      <c r="B27" t="s">
        <v>87</v>
      </c>
      <c r="C27">
        <v>1850</v>
      </c>
      <c r="D27">
        <v>275</v>
      </c>
      <c r="E27" t="s">
        <v>11</v>
      </c>
      <c r="F27" t="s">
        <v>87</v>
      </c>
      <c r="H27" t="s">
        <v>85</v>
      </c>
      <c r="I27" t="s">
        <v>13</v>
      </c>
    </row>
    <row r="28">
      <c r="A28" t="s">
        <v>88</v>
      </c>
      <c r="B28" t="s">
        <v>89</v>
      </c>
      <c r="C28">
        <v>2125</v>
      </c>
      <c r="D28">
        <v>50</v>
      </c>
      <c r="E28" t="s">
        <v>11</v>
      </c>
      <c r="F28" t="s">
        <v>89</v>
      </c>
      <c r="H28" t="s">
        <v>85</v>
      </c>
      <c r="I28" t="s">
        <v>13</v>
      </c>
    </row>
    <row r="29">
      <c r="A29" t="s">
        <v>90</v>
      </c>
      <c r="B29" t="s">
        <v>91</v>
      </c>
      <c r="C29">
        <v>2175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2" activeCellId="0" sqref="D12"/>
    </sheetView>
  </sheetViews>
  <sheetFormatPr baseColWidth="10" defaultRowHeight="15"/>
  <sheetData>
    <row r="1">
      <c r="A1" t="s">
        <v>95</v>
      </c>
      <c r="B1" t="s">
        <v>96</v>
      </c>
    </row>
    <row r="2">
      <c r="A2">
        <v>250</v>
      </c>
      <c r="B2">
        <v>65</v>
      </c>
    </row>
    <row r="3">
      <c r="A3">
        <v>240</v>
      </c>
      <c r="B3">
        <v>70</v>
      </c>
    </row>
    <row r="4">
      <c r="A4">
        <v>230</v>
      </c>
      <c r="B4">
        <v>71</v>
      </c>
    </row>
    <row r="5">
      <c r="A5">
        <v>220</v>
      </c>
      <c r="B5">
        <v>72</v>
      </c>
    </row>
    <row r="6">
      <c r="A6">
        <v>210</v>
      </c>
      <c r="B6">
        <v>73</v>
      </c>
    </row>
    <row r="7">
      <c r="A7">
        <v>200</v>
      </c>
      <c r="B7">
        <v>74</v>
      </c>
    </row>
    <row r="8">
      <c r="A8">
        <v>190</v>
      </c>
      <c r="B8">
        <v>75</v>
      </c>
    </row>
    <row r="9">
      <c r="A9">
        <v>180</v>
      </c>
      <c r="B9">
        <v>80</v>
      </c>
    </row>
    <row r="10">
      <c r="A10">
        <v>170</v>
      </c>
      <c r="B10">
        <v>75</v>
      </c>
    </row>
    <row r="11">
      <c r="A11">
        <v>160</v>
      </c>
      <c r="B11">
        <v>74</v>
      </c>
    </row>
    <row r="12">
      <c r="A12">
        <v>150</v>
      </c>
      <c r="B12">
        <v>73</v>
      </c>
    </row>
    <row r="13">
      <c r="A13">
        <v>140</v>
      </c>
      <c r="B13">
        <v>72</v>
      </c>
    </row>
    <row r="14">
      <c r="A14">
        <v>130</v>
      </c>
      <c r="B14">
        <v>71</v>
      </c>
    </row>
    <row r="15">
      <c r="A15">
        <v>120</v>
      </c>
      <c r="B15">
        <v>70</v>
      </c>
    </row>
    <row r="16">
      <c r="A16">
        <v>110</v>
      </c>
      <c r="B16">
        <v>69</v>
      </c>
    </row>
    <row r="17">
      <c r="A17">
        <v>100</v>
      </c>
      <c r="B17">
        <v>70</v>
      </c>
    </row>
    <row r="18">
      <c r="A18">
        <v>90</v>
      </c>
      <c r="B18">
        <v>72</v>
      </c>
    </row>
    <row r="19">
      <c r="A19">
        <v>80</v>
      </c>
      <c r="B19">
        <v>85</v>
      </c>
    </row>
    <row r="20">
      <c r="A20">
        <v>70</v>
      </c>
      <c r="B20">
        <v>95</v>
      </c>
    </row>
    <row r="21">
      <c r="A21">
        <v>60</v>
      </c>
      <c r="B21">
        <v>100</v>
      </c>
    </row>
    <row r="22">
      <c r="A22">
        <v>50</v>
      </c>
      <c r="B22">
        <v>100</v>
      </c>
    </row>
    <row r="23">
      <c r="A23">
        <v>40</v>
      </c>
      <c r="B23">
        <v>95</v>
      </c>
    </row>
    <row r="24">
      <c r="A24">
        <v>35</v>
      </c>
      <c r="B24">
        <v>100</v>
      </c>
    </row>
    <row r="25">
      <c r="A25">
        <v>30</v>
      </c>
      <c r="B25">
        <v>95</v>
      </c>
    </row>
    <row r="26">
      <c r="A26">
        <v>20</v>
      </c>
      <c r="B26">
        <v>90</v>
      </c>
    </row>
    <row r="27">
      <c r="A27">
        <v>17</v>
      </c>
      <c r="B27">
        <v>88</v>
      </c>
    </row>
    <row r="28">
      <c r="A28">
        <v>10</v>
      </c>
      <c r="B28">
        <v>85</v>
      </c>
    </row>
    <row r="29">
      <c r="A29">
        <v>0</v>
      </c>
      <c r="B29">
        <v>82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1:1048576"/>
    </sheetView>
  </sheetViews>
  <sheetFormatPr baseColWidth="10" defaultRowHeight="15"/>
  <sheetData>
    <row r="1">
      <c r="A1" t="s">
        <v>97</v>
      </c>
    </row>
    <row r="2">
      <c r="A2" t="s">
        <v>98</v>
      </c>
      <c r="E2" t="s">
        <v>99</v>
      </c>
      <c r="H2" t="s">
        <v>100</v>
      </c>
    </row>
    <row r="3">
      <c r="A3" t="s">
        <v>101</v>
      </c>
      <c r="E3" t="s">
        <v>101</v>
      </c>
      <c r="H3" t="s">
        <v>101</v>
      </c>
    </row>
    <row r="4">
      <c r="A4" t="s">
        <v>102</v>
      </c>
      <c r="B4" t="s">
        <v>103</v>
      </c>
      <c r="E4" t="s">
        <v>102</v>
      </c>
      <c r="F4" t="s">
        <v>103</v>
      </c>
      <c r="H4" t="s">
        <v>102</v>
      </c>
      <c r="I4" t="s">
        <v>103</v>
      </c>
    </row>
    <row r="5">
      <c r="A5" t="s">
        <v>104</v>
      </c>
      <c r="B5" t="s">
        <v>105</v>
      </c>
      <c r="E5" t="s">
        <v>104</v>
      </c>
      <c r="F5" t="s">
        <v>105</v>
      </c>
      <c r="H5" t="s">
        <v>104</v>
      </c>
      <c r="I5" t="s">
        <v>105</v>
      </c>
    </row>
    <row r="6">
      <c r="A6" t="s">
        <v>106</v>
      </c>
      <c r="B6" t="s">
        <v>107</v>
      </c>
      <c r="E6" t="s">
        <v>106</v>
      </c>
      <c r="F6" t="s">
        <v>107</v>
      </c>
      <c r="H6" t="s">
        <v>106</v>
      </c>
      <c r="I6" t="s">
        <v>107</v>
      </c>
    </row>
    <row r="7">
      <c r="A7" t="s">
        <v>108</v>
      </c>
      <c r="B7" t="s">
        <v>109</v>
      </c>
      <c r="E7" t="s">
        <v>108</v>
      </c>
      <c r="F7" t="s">
        <v>110</v>
      </c>
      <c r="H7" t="s">
        <v>108</v>
      </c>
      <c r="I7" t="s">
        <v>111</v>
      </c>
    </row>
    <row r="8">
      <c r="A8" t="s">
        <v>112</v>
      </c>
      <c r="B8" t="s">
        <v>113</v>
      </c>
      <c r="E8" t="s">
        <v>112</v>
      </c>
      <c r="F8" t="s">
        <v>114</v>
      </c>
      <c r="H8" t="s">
        <v>112</v>
      </c>
      <c r="I8" t="s">
        <v>111</v>
      </c>
    </row>
    <row r="9">
      <c r="A9" t="s">
        <v>115</v>
      </c>
      <c r="B9" t="s">
        <v>116</v>
      </c>
      <c r="E9" t="s">
        <v>115</v>
      </c>
      <c r="F9" t="s">
        <v>117</v>
      </c>
      <c r="H9" t="s">
        <v>115</v>
      </c>
      <c r="I9" t="s">
        <v>111</v>
      </c>
    </row>
    <row r="10">
      <c r="A10" t="s">
        <v>118</v>
      </c>
      <c r="B10" t="s">
        <v>119</v>
      </c>
      <c r="E10" t="s">
        <v>118</v>
      </c>
      <c r="F10" t="s">
        <v>120</v>
      </c>
      <c r="H10" t="s">
        <v>118</v>
      </c>
      <c r="I10" t="s">
        <v>111</v>
      </c>
    </row>
    <row r="11">
      <c r="A11" t="s">
        <v>121</v>
      </c>
      <c r="B11" t="s">
        <v>122</v>
      </c>
      <c r="E11" t="s">
        <v>123</v>
      </c>
      <c r="F11" t="s">
        <v>124</v>
      </c>
      <c r="H11" t="s">
        <v>123</v>
      </c>
      <c r="I11" t="s">
        <v>125</v>
      </c>
    </row>
    <row r="12">
      <c r="A12" t="s">
        <v>123</v>
      </c>
      <c r="B12" t="s">
        <v>126</v>
      </c>
      <c r="E12" t="s">
        <v>127</v>
      </c>
      <c r="F12" t="s">
        <v>128</v>
      </c>
      <c r="H12" t="s">
        <v>127</v>
      </c>
      <c r="I12" t="s">
        <v>129</v>
      </c>
    </row>
    <row r="13">
      <c r="A13" t="s">
        <v>130</v>
      </c>
      <c r="B13" t="s">
        <v>131</v>
      </c>
      <c r="E13" t="s">
        <v>132</v>
      </c>
      <c r="F13" t="s">
        <v>133</v>
      </c>
      <c r="H13" t="s">
        <v>132</v>
      </c>
      <c r="I13" t="s">
        <v>134</v>
      </c>
    </row>
    <row r="14">
      <c r="A14" t="s">
        <v>127</v>
      </c>
      <c r="B14" t="s">
        <v>135</v>
      </c>
      <c r="E14" t="s">
        <v>136</v>
      </c>
      <c r="F14" t="s">
        <v>137</v>
      </c>
      <c r="H14" t="s">
        <v>136</v>
      </c>
      <c r="I14" t="s">
        <v>138</v>
      </c>
    </row>
    <row r="15">
      <c r="A15" t="s">
        <v>139</v>
      </c>
      <c r="B15" t="s">
        <v>140</v>
      </c>
      <c r="E15" t="s">
        <v>141</v>
      </c>
      <c r="F15" t="s">
        <v>142</v>
      </c>
      <c r="H15" t="s">
        <v>141</v>
      </c>
      <c r="I15" t="s">
        <v>143</v>
      </c>
    </row>
    <row r="16">
      <c r="A16" t="s">
        <v>132</v>
      </c>
      <c r="B16" t="s">
        <v>144</v>
      </c>
      <c r="E16" t="s">
        <v>145</v>
      </c>
      <c r="F16" t="s">
        <v>146</v>
      </c>
      <c r="H16" t="s">
        <v>145</v>
      </c>
      <c r="I16" t="s">
        <v>147</v>
      </c>
    </row>
    <row r="17">
      <c r="A17" t="s">
        <v>136</v>
      </c>
      <c r="B17" t="s">
        <v>148</v>
      </c>
      <c r="E17" t="s">
        <v>149</v>
      </c>
      <c r="F17" t="s">
        <v>150</v>
      </c>
      <c r="H17" t="s">
        <v>149</v>
      </c>
      <c r="I17" t="s">
        <v>151</v>
      </c>
    </row>
    <row r="18">
      <c r="A18" t="s">
        <v>141</v>
      </c>
      <c r="B18" t="s">
        <v>152</v>
      </c>
      <c r="E18" t="s">
        <v>153</v>
      </c>
      <c r="F18" t="s">
        <v>154</v>
      </c>
      <c r="H18" t="s">
        <v>153</v>
      </c>
      <c r="I18" t="s">
        <v>155</v>
      </c>
    </row>
    <row r="19">
      <c r="A19" t="s">
        <v>156</v>
      </c>
      <c r="B19" t="s">
        <v>157</v>
      </c>
      <c r="E19" t="s">
        <v>158</v>
      </c>
      <c r="F19" t="s">
        <v>159</v>
      </c>
      <c r="H19" t="s">
        <v>158</v>
      </c>
      <c r="I19" t="s">
        <v>160</v>
      </c>
    </row>
    <row r="20">
      <c r="A20" t="s">
        <v>161</v>
      </c>
      <c r="B20" t="s">
        <v>162</v>
      </c>
      <c r="E20" t="s">
        <v>163</v>
      </c>
      <c r="F20" t="s">
        <v>164</v>
      </c>
      <c r="H20" t="s">
        <v>163</v>
      </c>
      <c r="I20" t="s">
        <v>165</v>
      </c>
    </row>
    <row r="21">
      <c r="A21" t="s">
        <v>166</v>
      </c>
      <c r="B21" t="s">
        <v>167</v>
      </c>
      <c r="E21" t="s">
        <v>168</v>
      </c>
      <c r="F21" t="s">
        <v>169</v>
      </c>
      <c r="H21" t="s">
        <v>168</v>
      </c>
      <c r="I21" t="s">
        <v>170</v>
      </c>
    </row>
    <row r="22">
      <c r="A22" t="s">
        <v>171</v>
      </c>
      <c r="B22" t="s">
        <v>172</v>
      </c>
      <c r="E22" t="s">
        <v>173</v>
      </c>
      <c r="F22" t="s">
        <v>174</v>
      </c>
      <c r="H22" t="s">
        <v>173</v>
      </c>
      <c r="I22" t="s">
        <v>175</v>
      </c>
    </row>
    <row r="23">
      <c r="A23" t="s">
        <v>176</v>
      </c>
      <c r="B23" t="s">
        <v>177</v>
      </c>
      <c r="E23" t="s">
        <v>178</v>
      </c>
      <c r="F23" t="s">
        <v>174</v>
      </c>
      <c r="H23" t="s">
        <v>178</v>
      </c>
      <c r="I23" t="s">
        <v>175</v>
      </c>
    </row>
    <row r="24">
      <c r="A24" t="s">
        <v>158</v>
      </c>
      <c r="B24" t="s">
        <v>179</v>
      </c>
      <c r="E24" t="s">
        <v>42</v>
      </c>
      <c r="F24" t="s">
        <v>180</v>
      </c>
      <c r="H24" t="s">
        <v>42</v>
      </c>
      <c r="I24" t="s">
        <v>181</v>
      </c>
    </row>
    <row r="25">
      <c r="A25" t="s">
        <v>163</v>
      </c>
      <c r="B25" t="s">
        <v>182</v>
      </c>
      <c r="E25" t="s">
        <v>46</v>
      </c>
      <c r="F25" t="s">
        <v>183</v>
      </c>
      <c r="H25" t="s">
        <v>46</v>
      </c>
      <c r="I25" t="s">
        <v>184</v>
      </c>
    </row>
    <row r="26">
      <c r="A26" t="s">
        <v>185</v>
      </c>
      <c r="B26" t="s">
        <v>186</v>
      </c>
      <c r="E26" t="s">
        <v>50</v>
      </c>
      <c r="F26" t="s">
        <v>187</v>
      </c>
      <c r="H26" t="s">
        <v>50</v>
      </c>
      <c r="I26" t="s">
        <v>188</v>
      </c>
    </row>
    <row r="27">
      <c r="A27" t="s">
        <v>189</v>
      </c>
      <c r="B27" t="s">
        <v>190</v>
      </c>
      <c r="E27" t="s">
        <v>54</v>
      </c>
      <c r="F27" t="s">
        <v>191</v>
      </c>
      <c r="H27" t="s">
        <v>54</v>
      </c>
      <c r="I27" t="s">
        <v>192</v>
      </c>
    </row>
    <row r="28">
      <c r="A28" t="s">
        <v>168</v>
      </c>
      <c r="B28" t="s">
        <v>193</v>
      </c>
      <c r="E28" t="s">
        <v>57</v>
      </c>
      <c r="F28" t="s">
        <v>194</v>
      </c>
      <c r="H28" t="s">
        <v>57</v>
      </c>
      <c r="I28" t="s">
        <v>195</v>
      </c>
    </row>
    <row r="29">
      <c r="A29" t="s">
        <v>196</v>
      </c>
      <c r="B29" t="s">
        <v>197</v>
      </c>
      <c r="E29" t="s">
        <v>61</v>
      </c>
      <c r="F29" t="s">
        <v>198</v>
      </c>
      <c r="H29" t="s">
        <v>61</v>
      </c>
      <c r="I29" t="s">
        <v>195</v>
      </c>
    </row>
    <row r="30">
      <c r="A30" t="s">
        <v>199</v>
      </c>
      <c r="B30" t="s">
        <v>200</v>
      </c>
      <c r="E30" t="s">
        <v>201</v>
      </c>
      <c r="F30" t="s">
        <v>202</v>
      </c>
      <c r="H30" t="s">
        <v>201</v>
      </c>
      <c r="I30" t="s">
        <v>195</v>
      </c>
    </row>
    <row r="31">
      <c r="A31" t="s">
        <v>203</v>
      </c>
      <c r="B31" t="s">
        <v>204</v>
      </c>
      <c r="E31" t="s">
        <v>65</v>
      </c>
      <c r="F31" t="s">
        <v>205</v>
      </c>
      <c r="H31" t="s">
        <v>65</v>
      </c>
      <c r="I31" t="s">
        <v>195</v>
      </c>
    </row>
    <row r="32">
      <c r="A32" t="s">
        <v>173</v>
      </c>
      <c r="B32" t="s">
        <v>206</v>
      </c>
      <c r="E32" t="s">
        <v>69</v>
      </c>
      <c r="F32" t="s">
        <v>207</v>
      </c>
      <c r="H32" t="s">
        <v>69</v>
      </c>
      <c r="I32" t="s">
        <v>208</v>
      </c>
    </row>
    <row r="33">
      <c r="A33" t="s">
        <v>178</v>
      </c>
      <c r="B33" t="s">
        <v>209</v>
      </c>
      <c r="E33" t="s">
        <v>72</v>
      </c>
      <c r="F33" t="s">
        <v>210</v>
      </c>
      <c r="H33" t="s">
        <v>72</v>
      </c>
      <c r="I33" t="s">
        <v>211</v>
      </c>
    </row>
    <row r="34">
      <c r="A34" t="s">
        <v>212</v>
      </c>
      <c r="B34" t="s">
        <v>213</v>
      </c>
      <c r="E34" t="s">
        <v>74</v>
      </c>
      <c r="F34" t="s">
        <v>214</v>
      </c>
      <c r="H34" t="s">
        <v>74</v>
      </c>
      <c r="I34" t="s">
        <v>215</v>
      </c>
    </row>
    <row r="35">
      <c r="A35" t="s">
        <v>42</v>
      </c>
      <c r="B35" t="s">
        <v>216</v>
      </c>
      <c r="E35" t="s">
        <v>76</v>
      </c>
      <c r="F35" t="s">
        <v>217</v>
      </c>
      <c r="H35" t="s">
        <v>76</v>
      </c>
      <c r="I35" t="s">
        <v>218</v>
      </c>
    </row>
    <row r="36">
      <c r="A36" t="s">
        <v>219</v>
      </c>
      <c r="B36" t="s">
        <v>220</v>
      </c>
      <c r="E36" t="s">
        <v>79</v>
      </c>
      <c r="F36" t="s">
        <v>221</v>
      </c>
      <c r="H36" t="s">
        <v>79</v>
      </c>
      <c r="I36" t="s">
        <v>222</v>
      </c>
    </row>
    <row r="37">
      <c r="A37" t="s">
        <v>46</v>
      </c>
      <c r="B37" t="s">
        <v>223</v>
      </c>
      <c r="E37" t="s">
        <v>81</v>
      </c>
      <c r="F37" t="s">
        <v>224</v>
      </c>
      <c r="H37" t="s">
        <v>81</v>
      </c>
      <c r="I37" t="s">
        <v>225</v>
      </c>
    </row>
    <row r="38">
      <c r="A38" t="s">
        <v>50</v>
      </c>
      <c r="B38" t="s">
        <v>226</v>
      </c>
      <c r="E38" t="s">
        <v>83</v>
      </c>
      <c r="F38" t="s">
        <v>227</v>
      </c>
      <c r="H38" t="s">
        <v>83</v>
      </c>
      <c r="I38" t="s">
        <v>228</v>
      </c>
    </row>
    <row r="39">
      <c r="A39" t="s">
        <v>54</v>
      </c>
      <c r="B39" t="s">
        <v>229</v>
      </c>
      <c r="E39" t="s">
        <v>86</v>
      </c>
      <c r="F39" t="s">
        <v>230</v>
      </c>
      <c r="H39" t="s">
        <v>86</v>
      </c>
      <c r="I39" t="s">
        <v>231</v>
      </c>
    </row>
    <row r="40">
      <c r="A40" t="s">
        <v>232</v>
      </c>
      <c r="B40" t="s">
        <v>233</v>
      </c>
      <c r="E40" t="s">
        <v>88</v>
      </c>
      <c r="F40" t="s">
        <v>234</v>
      </c>
      <c r="H40" t="s">
        <v>88</v>
      </c>
      <c r="I40" t="s">
        <v>235</v>
      </c>
    </row>
    <row r="41">
      <c r="A41" t="s">
        <v>57</v>
      </c>
      <c r="B41" t="s">
        <v>236</v>
      </c>
      <c r="E41" t="s">
        <v>237</v>
      </c>
      <c r="F41" t="s">
        <v>238</v>
      </c>
      <c r="H41" t="s">
        <v>237</v>
      </c>
      <c r="I41" t="s">
        <v>239</v>
      </c>
    </row>
    <row r="42">
      <c r="A42" t="s">
        <v>240</v>
      </c>
      <c r="B42" t="s">
        <v>241</v>
      </c>
      <c r="E42" t="s">
        <v>90</v>
      </c>
      <c r="F42" t="s">
        <v>242</v>
      </c>
      <c r="H42" t="s">
        <v>90</v>
      </c>
      <c r="I42" t="s">
        <v>242</v>
      </c>
    </row>
    <row r="43">
      <c r="A43" t="s">
        <v>61</v>
      </c>
      <c r="B43" t="s">
        <v>243</v>
      </c>
    </row>
    <row r="44">
      <c r="A44" t="s">
        <v>244</v>
      </c>
      <c r="B44" t="s">
        <v>245</v>
      </c>
    </row>
    <row r="45">
      <c r="A45" t="s">
        <v>65</v>
      </c>
      <c r="B45" t="s">
        <v>246</v>
      </c>
    </row>
    <row r="46">
      <c r="A46" t="s">
        <v>69</v>
      </c>
      <c r="B46" t="s">
        <v>247</v>
      </c>
    </row>
    <row r="47">
      <c r="A47" t="s">
        <v>72</v>
      </c>
      <c r="B47" t="s">
        <v>248</v>
      </c>
    </row>
    <row r="48">
      <c r="A48" t="s">
        <v>249</v>
      </c>
      <c r="B48" t="s">
        <v>250</v>
      </c>
    </row>
    <row r="49">
      <c r="A49" t="s">
        <v>74</v>
      </c>
      <c r="B49" t="s">
        <v>251</v>
      </c>
    </row>
    <row r="50">
      <c r="A50" t="s">
        <v>76</v>
      </c>
      <c r="B50" t="s">
        <v>252</v>
      </c>
    </row>
    <row r="51">
      <c r="A51" t="s">
        <v>79</v>
      </c>
      <c r="B51" t="s">
        <v>253</v>
      </c>
    </row>
    <row r="52">
      <c r="A52" t="s">
        <v>81</v>
      </c>
      <c r="B52" t="s">
        <v>254</v>
      </c>
    </row>
    <row r="53">
      <c r="A53" t="s">
        <v>83</v>
      </c>
      <c r="B53" t="s">
        <v>255</v>
      </c>
    </row>
    <row r="54">
      <c r="A54" t="s">
        <v>86</v>
      </c>
      <c r="B54" t="s">
        <v>256</v>
      </c>
    </row>
    <row r="55">
      <c r="A55" t="s">
        <v>257</v>
      </c>
      <c r="B55" t="s">
        <v>258</v>
      </c>
    </row>
    <row r="56">
      <c r="A56" t="s">
        <v>88</v>
      </c>
      <c r="B56" t="s">
        <v>259</v>
      </c>
    </row>
    <row r="57">
      <c r="A57" t="s">
        <v>237</v>
      </c>
      <c r="B57" t="s">
        <v>260</v>
      </c>
    </row>
    <row r="58">
      <c r="A58" t="s">
        <v>90</v>
      </c>
      <c r="B58" t="s">
        <v>261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2" activeCellId="0" sqref="A2:A20"/>
    </sheetView>
  </sheetViews>
  <sheetFormatPr baseColWidth="10" defaultRowHeight="15"/>
  <cols>
    <col customWidth="1" min="8" max="8" width="14.42578125"/>
  </cols>
  <sheetData>
    <row r="1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268</v>
      </c>
      <c r="H1" s="1" t="s">
        <v>269</v>
      </c>
      <c r="I1" s="1" t="s">
        <v>270</v>
      </c>
    </row>
    <row r="2">
      <c r="A2" s="1" t="s">
        <v>271</v>
      </c>
      <c r="B2" s="1" t="s">
        <v>272</v>
      </c>
      <c r="C2" s="1" t="s">
        <v>273</v>
      </c>
      <c r="D2" s="1" t="s">
        <v>274</v>
      </c>
      <c r="E2" s="1">
        <v>15</v>
      </c>
      <c r="F2" s="2">
        <v>3.6365165333767924</v>
      </c>
      <c r="G2" s="2">
        <v>10.207664128544112</v>
      </c>
      <c r="H2" s="2">
        <v>15.562716210560625</v>
      </c>
      <c r="I2" s="1">
        <v>0.18746686606455892</v>
      </c>
    </row>
    <row r="3">
      <c r="A3" s="1"/>
      <c r="B3" s="1"/>
      <c r="C3" s="1"/>
      <c r="D3" s="1" t="s">
        <v>275</v>
      </c>
      <c r="E3" s="1">
        <v>4</v>
      </c>
      <c r="F3" s="2">
        <v>18.806495034810951</v>
      </c>
      <c r="G3" s="2">
        <v>20.186610101075619</v>
      </c>
      <c r="H3" s="2">
        <v>23.428773625554108</v>
      </c>
      <c r="I3" s="1">
        <v>0.19189704385545048</v>
      </c>
    </row>
    <row r="4">
      <c r="A4" s="1" t="s">
        <v>276</v>
      </c>
      <c r="B4" s="1" t="s">
        <v>272</v>
      </c>
      <c r="C4" s="1" t="s">
        <v>277</v>
      </c>
      <c r="D4" s="1" t="s">
        <v>274</v>
      </c>
      <c r="E4" s="1">
        <v>46</v>
      </c>
      <c r="F4" s="1">
        <v>2.7516430593886456</v>
      </c>
      <c r="G4" s="1">
        <v>10.719311053142205</v>
      </c>
      <c r="H4" s="1">
        <v>13.411943937991268</v>
      </c>
      <c r="I4" s="1">
        <v>0.26288981627246938</v>
      </c>
    </row>
    <row r="5">
      <c r="A5" s="1"/>
      <c r="B5" s="1"/>
      <c r="C5" s="1"/>
      <c r="D5" s="1" t="s">
        <v>275</v>
      </c>
      <c r="E5" s="1">
        <v>54</v>
      </c>
      <c r="F5" s="1">
        <v>16.122027104803493</v>
      </c>
      <c r="G5" s="1">
        <v>19.480350169998385</v>
      </c>
      <c r="H5" s="1">
        <v>23.324208766812227</v>
      </c>
      <c r="I5" s="1">
        <v>0.20206276991307123</v>
      </c>
    </row>
    <row r="6">
      <c r="A6" s="1" t="s">
        <v>278</v>
      </c>
      <c r="B6" s="1" t="s">
        <v>272</v>
      </c>
      <c r="C6" s="1" t="s">
        <v>277</v>
      </c>
      <c r="D6" s="1" t="s">
        <v>274</v>
      </c>
      <c r="E6" s="1">
        <f>122-67</f>
        <v>55</v>
      </c>
      <c r="F6" s="1">
        <v>3.7248960117566647</v>
      </c>
      <c r="G6" s="1">
        <v>10.939811453075112</v>
      </c>
      <c r="H6" s="1">
        <v>14.987256886534517</v>
      </c>
      <c r="I6" s="1">
        <v>0.058818405555555557</v>
      </c>
    </row>
    <row r="7">
      <c r="A7" s="1"/>
      <c r="B7" s="1"/>
      <c r="C7" s="1"/>
      <c r="D7" s="1" t="s">
        <v>275</v>
      </c>
      <c r="E7" s="1">
        <v>67</v>
      </c>
      <c r="F7" s="1">
        <v>14.114175834996583</v>
      </c>
      <c r="G7" s="1">
        <v>19.09111819414014</v>
      </c>
      <c r="H7" s="1">
        <v>24.638413594668489</v>
      </c>
      <c r="I7" s="1">
        <v>0.068735644999999984</v>
      </c>
    </row>
    <row r="8">
      <c r="A8" s="1" t="s">
        <v>279</v>
      </c>
      <c r="B8" s="1" t="s">
        <v>272</v>
      </c>
      <c r="C8" s="1" t="s">
        <v>273</v>
      </c>
      <c r="D8" s="1" t="s">
        <v>274</v>
      </c>
      <c r="E8" s="1">
        <v>3</v>
      </c>
      <c r="F8" s="1">
        <v>9.103149935371178</v>
      </c>
      <c r="G8" s="1">
        <v>11.446909903639011</v>
      </c>
      <c r="H8" s="1">
        <v>13.874269604366813</v>
      </c>
      <c r="I8" s="1">
        <v>0.25648615094710037</v>
      </c>
    </row>
    <row r="9">
      <c r="A9" s="1"/>
      <c r="B9" s="1"/>
      <c r="C9" s="1"/>
      <c r="D9" s="1" t="s">
        <v>275</v>
      </c>
      <c r="E9" s="1">
        <v>14</v>
      </c>
      <c r="F9" s="1">
        <v>17.144046840174671</v>
      </c>
      <c r="G9" s="1">
        <v>19.496301411478477</v>
      </c>
      <c r="H9" s="1">
        <v>22.311660151965064</v>
      </c>
      <c r="I9" s="1">
        <v>0.23267139735871345</v>
      </c>
    </row>
    <row r="10">
      <c r="A10" s="1" t="s">
        <v>280</v>
      </c>
      <c r="B10" s="1" t="s">
        <v>272</v>
      </c>
      <c r="C10" s="1" t="s">
        <v>277</v>
      </c>
      <c r="D10" s="1" t="s">
        <v>274</v>
      </c>
      <c r="E10" s="1">
        <v>65</v>
      </c>
      <c r="F10" s="1">
        <v>1.5932641707450448</v>
      </c>
      <c r="G10" s="1">
        <v>8.1247192222185163</v>
      </c>
      <c r="H10" s="1">
        <v>13.462035821326044</v>
      </c>
      <c r="I10" s="1">
        <v>0.2061485390528702</v>
      </c>
    </row>
    <row r="11">
      <c r="A11" s="1"/>
      <c r="B11" s="1"/>
      <c r="C11" s="1"/>
      <c r="D11" s="1" t="s">
        <v>275</v>
      </c>
      <c r="E11" s="1">
        <v>44</v>
      </c>
      <c r="F11" s="1">
        <v>10.757288364146024</v>
      </c>
      <c r="G11" s="1">
        <v>15.786195337361622</v>
      </c>
      <c r="H11" s="1">
        <v>19.711779735885166</v>
      </c>
      <c r="I11" s="1">
        <v>0.19176330515477846</v>
      </c>
    </row>
    <row r="12">
      <c r="A12" s="1" t="s">
        <v>281</v>
      </c>
      <c r="B12" s="1" t="s">
        <v>282</v>
      </c>
      <c r="C12" s="1" t="s">
        <v>277</v>
      </c>
      <c r="D12" s="1" t="s">
        <v>274</v>
      </c>
      <c r="E12" s="1">
        <v>84</v>
      </c>
      <c r="F12" s="1">
        <v>1.1543760638655467</v>
      </c>
      <c r="G12" s="1">
        <v>10.774826369459783</v>
      </c>
      <c r="H12" s="1">
        <v>16.494935346554623</v>
      </c>
      <c r="I12" s="1">
        <v>0.15562511828112138</v>
      </c>
    </row>
    <row r="13">
      <c r="A13" s="1"/>
      <c r="B13" s="1"/>
      <c r="C13" s="1"/>
      <c r="D13" s="1" t="s">
        <v>275</v>
      </c>
      <c r="E13" s="1">
        <v>25</v>
      </c>
      <c r="F13" s="1">
        <v>14.564221557983192</v>
      </c>
      <c r="G13" s="1">
        <v>18.096849337500675</v>
      </c>
      <c r="H13" s="1">
        <v>22.231282963697481</v>
      </c>
      <c r="I13" s="1">
        <v>0.14393408951554645</v>
      </c>
    </row>
    <row r="14">
      <c r="A14" s="1" t="s">
        <v>283</v>
      </c>
      <c r="B14" s="1" t="s">
        <v>284</v>
      </c>
      <c r="C14" s="1" t="s">
        <v>285</v>
      </c>
      <c r="D14" s="1" t="s">
        <v>274</v>
      </c>
      <c r="E14" s="1">
        <v>10</v>
      </c>
      <c r="F14" s="1">
        <v>3.6521505595827901</v>
      </c>
      <c r="G14" s="1">
        <v>9.1026444413559311</v>
      </c>
      <c r="H14" s="1">
        <v>15.624145735332464</v>
      </c>
      <c r="I14" s="1">
        <v>0.1910869563140527</v>
      </c>
    </row>
    <row r="15">
      <c r="A15" s="1"/>
      <c r="B15" s="1"/>
      <c r="C15" s="1"/>
      <c r="D15" s="1" t="s">
        <v>275</v>
      </c>
      <c r="E15" s="1">
        <v>10</v>
      </c>
      <c r="F15" s="1">
        <v>16.728145916818775</v>
      </c>
      <c r="G15" s="1">
        <v>20.14020756470665</v>
      </c>
      <c r="H15" s="1">
        <v>22.880414418252933</v>
      </c>
      <c r="I15" s="1">
        <v>0.19550445130359079</v>
      </c>
    </row>
    <row r="16">
      <c r="A16" s="1" t="s">
        <v>286</v>
      </c>
      <c r="B16" s="1" t="s">
        <v>287</v>
      </c>
      <c r="C16" s="1" t="s">
        <v>277</v>
      </c>
      <c r="D16" s="1" t="s">
        <v>274</v>
      </c>
      <c r="E16" s="1">
        <f>53-37</f>
        <v>16</v>
      </c>
      <c r="F16" s="1">
        <v>10.253439309501026</v>
      </c>
      <c r="G16" s="1">
        <v>12.45637468994361</v>
      </c>
      <c r="H16" s="1">
        <v>21.228362143677376</v>
      </c>
      <c r="I16" s="1">
        <v>0.06903783333333334</v>
      </c>
    </row>
    <row r="17">
      <c r="A17" s="1"/>
      <c r="B17" s="1" t="s">
        <v>288</v>
      </c>
      <c r="C17" s="1"/>
      <c r="D17" s="1" t="s">
        <v>275</v>
      </c>
      <c r="E17" s="1">
        <v>37</v>
      </c>
      <c r="F17" s="1">
        <v>16.856605999999999</v>
      </c>
      <c r="G17" s="1">
        <v>22.16131421045981</v>
      </c>
      <c r="H17" s="1">
        <v>26.059739</v>
      </c>
      <c r="I17" s="1">
        <v>0.065087194999999987</v>
      </c>
    </row>
    <row r="18">
      <c r="A18" s="1" t="s">
        <v>289</v>
      </c>
      <c r="B18" s="1" t="s">
        <v>287</v>
      </c>
      <c r="C18" s="1" t="s">
        <v>277</v>
      </c>
      <c r="D18" s="1" t="s">
        <v>274</v>
      </c>
      <c r="E18" s="1">
        <v>70</v>
      </c>
      <c r="F18" s="1">
        <v>-3.192456</v>
      </c>
      <c r="G18" s="1">
        <v>9.0468659857142839</v>
      </c>
      <c r="H18" s="1">
        <v>15.679517000000001</v>
      </c>
      <c r="I18" s="1">
        <v>0.055176350000000006</v>
      </c>
    </row>
    <row r="19">
      <c r="A19" s="1"/>
      <c r="B19" s="1" t="s">
        <v>290</v>
      </c>
      <c r="C19" s="1"/>
      <c r="D19" s="1" t="s">
        <v>275</v>
      </c>
      <c r="E19" s="1">
        <v>49</v>
      </c>
      <c r="F19" s="1">
        <v>12.809843000000001</v>
      </c>
      <c r="G19" s="1">
        <v>18.986005387755103</v>
      </c>
      <c r="H19" s="1">
        <v>23.080215000000003</v>
      </c>
      <c r="I19" s="1">
        <v>0.060591722222222227</v>
      </c>
    </row>
    <row r="20">
      <c r="A20" s="1" t="s">
        <v>291</v>
      </c>
      <c r="B20" s="1" t="s">
        <v>292</v>
      </c>
      <c r="C20" s="1" t="s">
        <v>277</v>
      </c>
      <c r="D20" s="1" t="s">
        <v>274</v>
      </c>
      <c r="E20" s="1">
        <v>4</v>
      </c>
      <c r="F20" s="1">
        <v>9.2441700000000004</v>
      </c>
      <c r="G20" s="1">
        <v>10.89978425</v>
      </c>
      <c r="H20" s="1">
        <v>12.270596000000001</v>
      </c>
      <c r="I20" s="1">
        <v>0.060512039999999996</v>
      </c>
    </row>
    <row r="21">
      <c r="A21" s="1"/>
      <c r="B21" s="1"/>
      <c r="C21" s="1"/>
      <c r="D21" s="1" t="s">
        <v>275</v>
      </c>
      <c r="E21" s="1">
        <v>2</v>
      </c>
      <c r="F21" s="1">
        <v>18.717607000000001</v>
      </c>
      <c r="G21" s="1">
        <v>18.882056500000001</v>
      </c>
      <c r="H21" s="1">
        <v>19.046506000000001</v>
      </c>
      <c r="I21" s="1">
        <v>0.055871988333333344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2" activeCellId="0" sqref="A2:A23"/>
    </sheetView>
  </sheetViews>
  <sheetFormatPr baseColWidth="10" defaultRowHeight="15"/>
  <sheetData>
    <row r="1">
      <c r="A1" t="s">
        <v>293</v>
      </c>
      <c r="B1" t="s">
        <v>294</v>
      </c>
      <c r="C1" t="s">
        <v>295</v>
      </c>
      <c r="D1" t="s">
        <v>296</v>
      </c>
      <c r="E1" t="s">
        <v>297</v>
      </c>
      <c r="F1" t="s">
        <v>298</v>
      </c>
      <c r="G1" t="s">
        <v>299</v>
      </c>
      <c r="H1" t="s">
        <v>300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310</v>
      </c>
      <c r="V1" t="s">
        <v>300</v>
      </c>
    </row>
    <row r="2">
      <c r="A2" s="3" t="s">
        <v>311</v>
      </c>
      <c r="B2">
        <v>1</v>
      </c>
      <c r="E2">
        <v>1</v>
      </c>
      <c r="F2">
        <v>10.234400804172099</v>
      </c>
      <c r="G2">
        <v>0.20051219404846282</v>
      </c>
      <c r="H2">
        <v>1800</v>
      </c>
      <c r="I2">
        <v>9</v>
      </c>
      <c r="J2">
        <v>9</v>
      </c>
      <c r="N2">
        <f t="shared" ref="N2:N22" si="0">IF(E2=1,F2,"")</f>
        <v>10.234400804172099</v>
      </c>
      <c r="O2" t="str">
        <f t="shared" ref="O2:O23" si="1">IF(E2=2,F2,"")</f>
        <v/>
      </c>
      <c r="P2">
        <f>AVERAGE(G2,G4:G9,G11,G14,G16:G21)</f>
        <v>0.18746686606455892</v>
      </c>
      <c r="Q2">
        <f>MIN(N2:N21)</f>
        <v>3.6365165333767924</v>
      </c>
      <c r="R2">
        <f>AVERAGE(N2:N21)</f>
        <v>10.207664128544112</v>
      </c>
      <c r="S2">
        <f>MAX(N2:N21)</f>
        <v>15.562716210560625</v>
      </c>
      <c r="T2">
        <f>COUNT(N2:N21)</f>
        <v>15</v>
      </c>
      <c r="U2">
        <v>140</v>
      </c>
      <c r="V2">
        <v>2783</v>
      </c>
    </row>
    <row r="3">
      <c r="A3" s="3" t="s">
        <v>312</v>
      </c>
      <c r="B3">
        <v>2</v>
      </c>
      <c r="E3">
        <v>6</v>
      </c>
      <c r="H3">
        <v>1800</v>
      </c>
      <c r="I3">
        <v>11</v>
      </c>
      <c r="J3">
        <v>12</v>
      </c>
      <c r="L3">
        <f>F13-F12</f>
        <v>0.75574849856584336</v>
      </c>
      <c r="N3" t="str">
        <f t="shared" si="0"/>
        <v/>
      </c>
      <c r="O3" t="str">
        <f t="shared" si="1"/>
        <v/>
      </c>
      <c r="U3">
        <v>140</v>
      </c>
      <c r="V3">
        <v>2783</v>
      </c>
    </row>
    <row r="4">
      <c r="A4" s="3" t="s">
        <v>313</v>
      </c>
      <c r="B4">
        <v>3</v>
      </c>
      <c r="E4">
        <v>1</v>
      </c>
      <c r="F4">
        <v>11.509177801303782</v>
      </c>
      <c r="G4">
        <v>0.18982025283654114</v>
      </c>
      <c r="H4">
        <v>1800</v>
      </c>
      <c r="I4">
        <v>14</v>
      </c>
      <c r="J4">
        <v>14</v>
      </c>
      <c r="N4">
        <f t="shared" si="0"/>
        <v>11.509177801303782</v>
      </c>
      <c r="O4" t="str">
        <f t="shared" si="1"/>
        <v/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140</v>
      </c>
      <c r="V4">
        <v>2783</v>
      </c>
    </row>
    <row r="5">
      <c r="A5" s="3" t="s">
        <v>314</v>
      </c>
      <c r="B5">
        <v>4</v>
      </c>
      <c r="E5">
        <v>1</v>
      </c>
      <c r="F5">
        <v>14.111950299869623</v>
      </c>
      <c r="G5">
        <v>0.19656543527849857</v>
      </c>
      <c r="H5">
        <v>1800</v>
      </c>
      <c r="N5">
        <f t="shared" si="0"/>
        <v>14.111950299869623</v>
      </c>
      <c r="O5" t="str">
        <f t="shared" si="1"/>
        <v/>
      </c>
      <c r="P5">
        <f>AVERAGE(G10,G12:G13,G15)</f>
        <v>0.19189704385545048</v>
      </c>
      <c r="Q5">
        <f>MIN(O2:O21)</f>
        <v>18.806495034810951</v>
      </c>
      <c r="R5">
        <f>AVERAGE(O2:O21)</f>
        <v>20.186610101075619</v>
      </c>
      <c r="S5">
        <f>MAX(O2:O21)</f>
        <v>23.428773625554108</v>
      </c>
      <c r="T5">
        <f>COUNT(O2:O21)</f>
        <v>4</v>
      </c>
      <c r="U5">
        <v>140</v>
      </c>
      <c r="V5">
        <v>2783</v>
      </c>
    </row>
    <row r="6">
      <c r="A6" s="3" t="s">
        <v>315</v>
      </c>
      <c r="B6">
        <v>5</v>
      </c>
      <c r="E6">
        <v>1</v>
      </c>
      <c r="F6">
        <v>8.2247977148631026</v>
      </c>
      <c r="G6">
        <v>0.21530085770976018</v>
      </c>
      <c r="H6">
        <v>1800</v>
      </c>
      <c r="N6">
        <f t="shared" si="0"/>
        <v>8.2247977148631026</v>
      </c>
      <c r="O6" t="str">
        <f t="shared" si="1"/>
        <v/>
      </c>
      <c r="U6">
        <v>140</v>
      </c>
      <c r="V6">
        <v>2783</v>
      </c>
    </row>
    <row r="7">
      <c r="A7" s="3" t="s">
        <v>316</v>
      </c>
      <c r="B7">
        <v>6</v>
      </c>
      <c r="E7">
        <v>1</v>
      </c>
      <c r="F7">
        <v>12.273194213428944</v>
      </c>
      <c r="G7">
        <v>0.16661052138010493</v>
      </c>
      <c r="H7">
        <v>1800</v>
      </c>
      <c r="N7">
        <f t="shared" si="0"/>
        <v>12.273194213428944</v>
      </c>
      <c r="O7" t="str">
        <f t="shared" si="1"/>
        <v/>
      </c>
      <c r="U7">
        <v>140</v>
      </c>
      <c r="V7">
        <v>2783</v>
      </c>
    </row>
    <row r="8">
      <c r="A8" s="3" t="s">
        <v>317</v>
      </c>
      <c r="B8">
        <v>7</v>
      </c>
      <c r="E8">
        <v>1</v>
      </c>
      <c r="F8">
        <v>13.076371711994785</v>
      </c>
      <c r="G8">
        <v>0.19931667762713787</v>
      </c>
      <c r="H8">
        <v>1800</v>
      </c>
      <c r="N8">
        <f t="shared" si="0"/>
        <v>13.076371711994785</v>
      </c>
      <c r="O8" t="str">
        <f t="shared" si="1"/>
        <v/>
      </c>
      <c r="U8">
        <v>140</v>
      </c>
      <c r="V8">
        <v>2783</v>
      </c>
    </row>
    <row r="9">
      <c r="A9" s="3" t="s">
        <v>318</v>
      </c>
      <c r="B9">
        <v>8</v>
      </c>
      <c r="E9">
        <v>1</v>
      </c>
      <c r="F9">
        <v>15.562716210560625</v>
      </c>
      <c r="G9">
        <v>0.16499070980775132</v>
      </c>
      <c r="H9">
        <v>1800</v>
      </c>
      <c r="N9">
        <f t="shared" si="0"/>
        <v>15.562716210560625</v>
      </c>
      <c r="O9" t="str">
        <f t="shared" si="1"/>
        <v/>
      </c>
      <c r="U9">
        <v>140</v>
      </c>
      <c r="V9">
        <v>2783</v>
      </c>
    </row>
    <row r="10">
      <c r="A10" s="3" t="s">
        <v>319</v>
      </c>
      <c r="B10">
        <v>9</v>
      </c>
      <c r="C10" s="4">
        <v>2.5599999999999999e-05</v>
      </c>
      <c r="D10" s="4">
        <f>C10/0.000032</f>
        <v>0.80000000000000004</v>
      </c>
      <c r="E10">
        <v>2</v>
      </c>
      <c r="F10">
        <v>23.428773625554108</v>
      </c>
      <c r="G10">
        <v>0.19282637404684663</v>
      </c>
      <c r="H10">
        <v>1800</v>
      </c>
      <c r="N10" t="str">
        <f t="shared" si="0"/>
        <v/>
      </c>
      <c r="O10">
        <f t="shared" si="1"/>
        <v>23.428773625554108</v>
      </c>
      <c r="U10">
        <v>140</v>
      </c>
      <c r="V10">
        <v>2783</v>
      </c>
    </row>
    <row r="11">
      <c r="A11" s="3" t="s">
        <v>320</v>
      </c>
      <c r="B11">
        <v>10</v>
      </c>
      <c r="E11">
        <v>1</v>
      </c>
      <c r="F11">
        <v>13.566503124119947</v>
      </c>
      <c r="G11">
        <v>0.18475374620826393</v>
      </c>
      <c r="H11">
        <v>1800</v>
      </c>
      <c r="N11">
        <f t="shared" si="0"/>
        <v>13.566503124119947</v>
      </c>
      <c r="O11" t="str">
        <f t="shared" si="1"/>
        <v/>
      </c>
      <c r="U11">
        <v>140</v>
      </c>
      <c r="V11">
        <v>2783</v>
      </c>
    </row>
    <row r="12">
      <c r="A12" s="3" t="s">
        <v>321</v>
      </c>
      <c r="B12">
        <v>11</v>
      </c>
      <c r="C12" s="4">
        <v>5.6900000000000001e-05</v>
      </c>
      <c r="D12" s="4">
        <f t="shared" ref="D12:D13" si="2">C12/0.000065397</f>
        <v>0.87007049253023838</v>
      </c>
      <c r="E12">
        <v>2</v>
      </c>
      <c r="F12">
        <v>18.877711622685787</v>
      </c>
      <c r="G12">
        <v>0.19594444344672907</v>
      </c>
      <c r="H12">
        <v>1800</v>
      </c>
      <c r="N12" t="str">
        <f t="shared" si="0"/>
        <v/>
      </c>
      <c r="O12">
        <f t="shared" si="1"/>
        <v>18.877711622685787</v>
      </c>
      <c r="U12">
        <v>140</v>
      </c>
      <c r="V12">
        <v>2783</v>
      </c>
    </row>
    <row r="13">
      <c r="A13" s="3" t="s">
        <v>322</v>
      </c>
      <c r="B13">
        <v>12</v>
      </c>
      <c r="C13" s="4">
        <v>3.4799999999999999e-05</v>
      </c>
      <c r="D13" s="4">
        <f t="shared" si="2"/>
        <v>0.53213450158264142</v>
      </c>
      <c r="E13">
        <v>2</v>
      </c>
      <c r="F13">
        <v>19.63346012125163</v>
      </c>
      <c r="G13">
        <v>0.18133270568620105</v>
      </c>
      <c r="H13">
        <v>1800</v>
      </c>
      <c r="N13" t="str">
        <f t="shared" si="0"/>
        <v/>
      </c>
      <c r="O13">
        <f t="shared" si="1"/>
        <v>19.63346012125163</v>
      </c>
      <c r="U13">
        <v>140</v>
      </c>
      <c r="V13">
        <v>2783</v>
      </c>
    </row>
    <row r="14">
      <c r="A14" s="3" t="s">
        <v>323</v>
      </c>
      <c r="B14">
        <v>13</v>
      </c>
      <c r="E14">
        <v>1</v>
      </c>
      <c r="F14">
        <v>13.225329619817471</v>
      </c>
      <c r="G14">
        <v>0.1913509576332755</v>
      </c>
      <c r="H14">
        <v>1800</v>
      </c>
      <c r="N14">
        <f t="shared" si="0"/>
        <v>13.225329619817471</v>
      </c>
      <c r="O14" t="str">
        <f t="shared" si="1"/>
        <v/>
      </c>
      <c r="U14">
        <v>140</v>
      </c>
      <c r="V14">
        <v>2783</v>
      </c>
    </row>
    <row r="15">
      <c r="A15" s="3" t="s">
        <v>324</v>
      </c>
      <c r="B15">
        <v>14</v>
      </c>
      <c r="C15" s="4">
        <v>3.18e-05</v>
      </c>
      <c r="D15" s="4">
        <f>C15/0.00004297755</f>
        <v>0.73992119141272594</v>
      </c>
      <c r="E15">
        <v>2</v>
      </c>
      <c r="F15">
        <v>18.806495034810951</v>
      </c>
      <c r="G15">
        <v>0.19748465224202516</v>
      </c>
      <c r="H15">
        <v>1800</v>
      </c>
      <c r="N15" t="str">
        <f t="shared" si="0"/>
        <v/>
      </c>
      <c r="O15">
        <f t="shared" si="1"/>
        <v>18.806495034810951</v>
      </c>
      <c r="U15">
        <v>140</v>
      </c>
      <c r="V15">
        <v>2783</v>
      </c>
    </row>
    <row r="16">
      <c r="A16" s="3" t="s">
        <v>325</v>
      </c>
      <c r="B16">
        <v>15</v>
      </c>
      <c r="E16">
        <v>1</v>
      </c>
      <c r="F16">
        <v>3.6365165333767924</v>
      </c>
      <c r="G16">
        <v>0.18357479002931643</v>
      </c>
      <c r="H16">
        <v>1800</v>
      </c>
      <c r="N16">
        <f t="shared" si="0"/>
        <v>3.6365165333767924</v>
      </c>
      <c r="O16" t="str">
        <f t="shared" si="1"/>
        <v/>
      </c>
      <c r="U16">
        <v>140</v>
      </c>
      <c r="V16">
        <v>2783</v>
      </c>
    </row>
    <row r="17">
      <c r="A17" s="3" t="s">
        <v>326</v>
      </c>
      <c r="B17">
        <v>16</v>
      </c>
      <c r="E17">
        <v>1</v>
      </c>
      <c r="F17">
        <v>4.4763440319426335</v>
      </c>
      <c r="G17">
        <v>0.16983052612628158</v>
      </c>
      <c r="H17">
        <v>1800</v>
      </c>
      <c r="N17">
        <f t="shared" si="0"/>
        <v>4.4763440319426335</v>
      </c>
      <c r="O17" t="str">
        <f t="shared" si="1"/>
        <v/>
      </c>
      <c r="U17">
        <v>140</v>
      </c>
      <c r="V17">
        <v>2783</v>
      </c>
    </row>
    <row r="18">
      <c r="A18" s="3" t="s">
        <v>327</v>
      </c>
      <c r="B18">
        <v>17</v>
      </c>
      <c r="E18">
        <v>1</v>
      </c>
      <c r="F18">
        <v>9.1866845305084741</v>
      </c>
      <c r="G18">
        <v>0.17210072951218888</v>
      </c>
      <c r="H18">
        <v>1800</v>
      </c>
      <c r="N18">
        <f t="shared" si="0"/>
        <v>9.1866845305084741</v>
      </c>
      <c r="O18" t="str">
        <f t="shared" si="1"/>
        <v/>
      </c>
      <c r="U18">
        <v>140</v>
      </c>
      <c r="V18">
        <v>2783</v>
      </c>
    </row>
    <row r="19">
      <c r="A19" s="3" t="s">
        <v>328</v>
      </c>
      <c r="B19">
        <v>18</v>
      </c>
      <c r="E19">
        <v>1</v>
      </c>
      <c r="F19">
        <v>9.7196239455019562</v>
      </c>
      <c r="G19">
        <v>0.17935463572634974</v>
      </c>
      <c r="H19">
        <v>1800</v>
      </c>
      <c r="N19">
        <f t="shared" si="0"/>
        <v>9.7196239455019562</v>
      </c>
      <c r="O19" t="str">
        <f t="shared" si="1"/>
        <v/>
      </c>
      <c r="U19">
        <v>140</v>
      </c>
      <c r="V19">
        <v>2783</v>
      </c>
    </row>
    <row r="20">
      <c r="A20" s="3" t="s">
        <v>329</v>
      </c>
      <c r="B20">
        <v>19</v>
      </c>
      <c r="E20">
        <v>1</v>
      </c>
      <c r="F20">
        <v>8.0276884440677971</v>
      </c>
      <c r="G20">
        <v>0.17992149899744722</v>
      </c>
      <c r="H20">
        <v>1800</v>
      </c>
      <c r="N20">
        <f t="shared" si="0"/>
        <v>8.0276884440677971</v>
      </c>
      <c r="O20" t="str">
        <f t="shared" si="1"/>
        <v/>
      </c>
      <c r="U20">
        <v>140</v>
      </c>
      <c r="V20">
        <v>2783</v>
      </c>
    </row>
    <row r="21">
      <c r="A21" s="3" t="s">
        <v>330</v>
      </c>
      <c r="B21">
        <v>20</v>
      </c>
      <c r="E21">
        <v>1</v>
      </c>
      <c r="F21">
        <v>6.2836629426336374</v>
      </c>
      <c r="G21">
        <v>0.21799945804700435</v>
      </c>
      <c r="H21">
        <v>1800</v>
      </c>
      <c r="N21">
        <f t="shared" si="0"/>
        <v>6.2836629426336374</v>
      </c>
      <c r="O21" t="str">
        <f t="shared" si="1"/>
        <v/>
      </c>
      <c r="U21">
        <v>140</v>
      </c>
      <c r="V21">
        <v>2783</v>
      </c>
    </row>
    <row r="22">
      <c r="A22" s="3" t="s">
        <v>331</v>
      </c>
      <c r="B22">
        <v>21</v>
      </c>
      <c r="E22">
        <v>4</v>
      </c>
      <c r="F22">
        <v>23.037196595436765</v>
      </c>
      <c r="G22">
        <v>0.31295069745615228</v>
      </c>
      <c r="H22">
        <v>1800</v>
      </c>
      <c r="N22" t="str">
        <f t="shared" si="0"/>
        <v/>
      </c>
      <c r="O22" t="str">
        <f t="shared" si="1"/>
        <v/>
      </c>
      <c r="U22">
        <v>140</v>
      </c>
      <c r="V22">
        <v>2783</v>
      </c>
    </row>
    <row r="23">
      <c r="A23" s="3" t="s">
        <v>332</v>
      </c>
      <c r="B23">
        <v>22</v>
      </c>
      <c r="E23">
        <v>4</v>
      </c>
      <c r="F23">
        <v>23.299046925896349</v>
      </c>
      <c r="G23">
        <v>0.31403403612411851</v>
      </c>
      <c r="H23">
        <v>1800</v>
      </c>
      <c r="N23" t="str">
        <f>IF(F23=1,E23,"")</f>
        <v/>
      </c>
      <c r="O23" t="str">
        <f t="shared" si="1"/>
        <v/>
      </c>
      <c r="U23">
        <v>140</v>
      </c>
      <c r="V23">
        <v>2783</v>
      </c>
    </row>
  </sheetData>
  <hyperlinks>
    <hyperlink r:id="rId1" ref="A2"/>
    <hyperlink r:id="rId1" ref="A3:A23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92" zoomScale="100" workbookViewId="0">
      <selection activeCell="A2" activeCellId="0" sqref="A2:A126"/>
    </sheetView>
  </sheetViews>
  <sheetFormatPr baseColWidth="10" defaultRowHeight="15"/>
  <sheetData>
    <row r="1">
      <c r="A1" t="s">
        <v>293</v>
      </c>
      <c r="B1" t="s">
        <v>333</v>
      </c>
      <c r="C1" t="s">
        <v>334</v>
      </c>
      <c r="D1" t="s">
        <v>296</v>
      </c>
      <c r="E1" t="s">
        <v>297</v>
      </c>
      <c r="F1" t="s">
        <v>335</v>
      </c>
      <c r="G1" t="s">
        <v>299</v>
      </c>
      <c r="H1" t="s">
        <v>336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310</v>
      </c>
      <c r="V1" t="s">
        <v>300</v>
      </c>
    </row>
    <row r="2">
      <c r="A2" s="3" t="s">
        <v>337</v>
      </c>
      <c r="B2">
        <v>1</v>
      </c>
      <c r="E2">
        <v>4</v>
      </c>
      <c r="F2">
        <v>16.841117858843532</v>
      </c>
      <c r="G2">
        <v>0.17817762184840685</v>
      </c>
      <c r="H2">
        <v>1850</v>
      </c>
      <c r="I2">
        <v>2</v>
      </c>
      <c r="J2">
        <v>5</v>
      </c>
      <c r="L2">
        <f>F6-F3</f>
        <v>4.3841159807860244</v>
      </c>
      <c r="N2" t="str">
        <f t="shared" ref="N2:N65" si="3">IF(E2=1,F2,"")</f>
        <v/>
      </c>
      <c r="O2" t="str">
        <f t="shared" ref="O2:O65" si="4">IF(E2=2,F2,"")</f>
        <v/>
      </c>
      <c r="P2">
        <f>AVERAGE(G7:G12,G19:G24,G36,G40:G42,G48:G49,G53:G56,G66:G69,G78,G82:G85,G89:G93,G96:G99,G103:G107,G115)</f>
        <v>0.26288981627246938</v>
      </c>
      <c r="Q2">
        <f>MIN(N2:N124)</f>
        <v>2.7516430593886456</v>
      </c>
      <c r="R2">
        <f>AVERAGE(N2:N124)</f>
        <v>10.719311053142205</v>
      </c>
      <c r="S2">
        <f>MAX(N2:N124)</f>
        <v>13.411943937991268</v>
      </c>
      <c r="T2">
        <f>COUNT(N2:N124)</f>
        <v>46</v>
      </c>
      <c r="U2">
        <v>140</v>
      </c>
      <c r="V2">
        <f t="shared" ref="V2:V65" si="5">2587</f>
        <v>2587</v>
      </c>
    </row>
    <row r="3">
      <c r="A3" s="3" t="s">
        <v>338</v>
      </c>
      <c r="B3">
        <v>2</v>
      </c>
      <c r="C3" s="4">
        <v>0.00011</v>
      </c>
      <c r="D3" s="4">
        <f t="shared" ref="D3:D6" si="6">C3/0.00012</f>
        <v>0.91666666666666663</v>
      </c>
      <c r="E3">
        <v>2</v>
      </c>
      <c r="F3">
        <v>17.495402469868996</v>
      </c>
      <c r="G3">
        <v>0.24223790856098792</v>
      </c>
      <c r="H3">
        <v>1850</v>
      </c>
      <c r="I3">
        <v>12</v>
      </c>
      <c r="J3">
        <v>16</v>
      </c>
      <c r="L3">
        <f>F17-F14</f>
        <v>3.3076529807860275</v>
      </c>
      <c r="N3" t="str">
        <f t="shared" si="3"/>
        <v/>
      </c>
      <c r="O3">
        <f t="shared" si="4"/>
        <v>17.495402469868996</v>
      </c>
      <c r="U3">
        <v>140</v>
      </c>
      <c r="V3">
        <f t="shared" si="5"/>
        <v>2587</v>
      </c>
    </row>
    <row r="4">
      <c r="A4" s="3" t="s">
        <v>339</v>
      </c>
      <c r="B4">
        <v>3</v>
      </c>
      <c r="C4" s="4">
        <v>7.4999999999999993e-05</v>
      </c>
      <c r="D4" s="4">
        <f t="shared" si="6"/>
        <v>0.62499999999999989</v>
      </c>
      <c r="E4">
        <v>2</v>
      </c>
      <c r="F4">
        <v>18.513049253275106</v>
      </c>
      <c r="G4">
        <v>0.21745829885463178</v>
      </c>
      <c r="H4">
        <v>1850</v>
      </c>
      <c r="I4">
        <v>28</v>
      </c>
      <c r="J4">
        <v>30</v>
      </c>
      <c r="L4">
        <f>F29-F31</f>
        <v>-0.30875256681222751</v>
      </c>
      <c r="N4" t="str">
        <f t="shared" si="3"/>
        <v/>
      </c>
      <c r="O4">
        <f t="shared" si="4"/>
        <v>18.513049253275106</v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140</v>
      </c>
      <c r="V4">
        <f t="shared" si="5"/>
        <v>2587</v>
      </c>
    </row>
    <row r="5">
      <c r="A5" s="3" t="s">
        <v>340</v>
      </c>
      <c r="B5">
        <v>4</v>
      </c>
      <c r="C5" s="4">
        <v>5.0000000000000002e-05</v>
      </c>
      <c r="D5" s="4">
        <f t="shared" si="6"/>
        <v>0.41666666666666669</v>
      </c>
      <c r="E5">
        <v>2</v>
      </c>
      <c r="F5">
        <v>20.448940036681222</v>
      </c>
      <c r="G5">
        <v>0.23247513265217495</v>
      </c>
      <c r="H5">
        <v>1850</v>
      </c>
      <c r="I5">
        <v>36</v>
      </c>
      <c r="J5">
        <v>38</v>
      </c>
      <c r="L5">
        <f>F39-F38</f>
        <v>0.8255847834061143</v>
      </c>
      <c r="N5" t="str">
        <f t="shared" si="3"/>
        <v/>
      </c>
      <c r="O5">
        <f t="shared" si="4"/>
        <v>20.448940036681222</v>
      </c>
      <c r="P5">
        <f>AVERAGE(G3:G6,G13:G17,G29:G31,G37:G39,G43:G47,G50:G52,G61:G65,G70:G77,G79:G81,G86:G88,G94:G95,G100:G102,G108:G114)</f>
        <v>0.20206276991307123</v>
      </c>
      <c r="Q5">
        <f>MIN(O2:O124)</f>
        <v>16.122027104803493</v>
      </c>
      <c r="R5">
        <f>AVERAGE(O2:O124)</f>
        <v>19.480350169998385</v>
      </c>
      <c r="S5">
        <f>MAX(O2:O124)</f>
        <v>23.324208766812227</v>
      </c>
      <c r="T5">
        <f>COUNT(O2:O124)</f>
        <v>54</v>
      </c>
      <c r="U5">
        <v>140</v>
      </c>
      <c r="V5">
        <f t="shared" si="5"/>
        <v>2587</v>
      </c>
    </row>
    <row r="6">
      <c r="A6" s="3" t="s">
        <v>341</v>
      </c>
      <c r="B6">
        <v>5</v>
      </c>
      <c r="C6" s="4">
        <v>3.0000000000000001e-05</v>
      </c>
      <c r="D6" s="4">
        <f t="shared" si="6"/>
        <v>0.25</v>
      </c>
      <c r="E6">
        <v>2</v>
      </c>
      <c r="F6">
        <v>21.87951845065502</v>
      </c>
      <c r="G6">
        <v>0.22404763050423085</v>
      </c>
      <c r="H6">
        <v>1850</v>
      </c>
      <c r="I6">
        <v>42</v>
      </c>
      <c r="J6">
        <v>46</v>
      </c>
      <c r="L6">
        <f>F46-F43</f>
        <v>0.9893633502183441</v>
      </c>
      <c r="N6" t="str">
        <f t="shared" si="3"/>
        <v/>
      </c>
      <c r="O6">
        <f t="shared" si="4"/>
        <v>21.87951845065502</v>
      </c>
      <c r="U6">
        <v>140</v>
      </c>
      <c r="V6">
        <f t="shared" si="5"/>
        <v>2587</v>
      </c>
    </row>
    <row r="7">
      <c r="A7" s="3" t="s">
        <v>342</v>
      </c>
      <c r="B7">
        <v>6</v>
      </c>
      <c r="E7">
        <v>1</v>
      </c>
      <c r="F7">
        <v>11.977186234061135</v>
      </c>
      <c r="G7">
        <v>0.24423826201114016</v>
      </c>
      <c r="H7">
        <v>1850</v>
      </c>
      <c r="I7">
        <v>49</v>
      </c>
      <c r="J7">
        <v>51</v>
      </c>
      <c r="L7">
        <f>F52-F50</f>
        <v>0.71386419737991247</v>
      </c>
      <c r="N7">
        <f t="shared" si="3"/>
        <v>11.977186234061135</v>
      </c>
      <c r="O7" t="str">
        <f t="shared" si="4"/>
        <v/>
      </c>
      <c r="U7">
        <v>140</v>
      </c>
      <c r="V7">
        <f t="shared" si="5"/>
        <v>2587</v>
      </c>
    </row>
    <row r="8">
      <c r="A8" s="3" t="s">
        <v>343</v>
      </c>
      <c r="B8">
        <v>7</v>
      </c>
      <c r="E8">
        <v>1</v>
      </c>
      <c r="F8">
        <v>11.847369017467248</v>
      </c>
      <c r="G8">
        <v>0.21831006187526572</v>
      </c>
      <c r="H8">
        <v>1850</v>
      </c>
      <c r="I8">
        <v>60</v>
      </c>
      <c r="J8">
        <v>64</v>
      </c>
      <c r="L8">
        <f>F65-F61</f>
        <v>5.0912367641921392</v>
      </c>
      <c r="N8">
        <f t="shared" si="3"/>
        <v>11.847369017467248</v>
      </c>
      <c r="O8" t="str">
        <f t="shared" si="4"/>
        <v/>
      </c>
      <c r="U8">
        <v>140</v>
      </c>
      <c r="V8">
        <f t="shared" si="5"/>
        <v>2587</v>
      </c>
    </row>
    <row r="9">
      <c r="A9" s="3" t="s">
        <v>344</v>
      </c>
      <c r="B9">
        <v>8</v>
      </c>
      <c r="E9">
        <v>1</v>
      </c>
      <c r="F9">
        <v>11.445171800873361</v>
      </c>
      <c r="G9">
        <v>0.22779721924034882</v>
      </c>
      <c r="H9">
        <v>1850</v>
      </c>
      <c r="I9">
        <v>69</v>
      </c>
      <c r="J9">
        <v>72</v>
      </c>
      <c r="L9">
        <f>F73-F70</f>
        <v>4.170525350218341</v>
      </c>
      <c r="N9">
        <f t="shared" si="3"/>
        <v>11.445171800873361</v>
      </c>
      <c r="O9" t="str">
        <f t="shared" si="4"/>
        <v/>
      </c>
      <c r="U9">
        <v>140</v>
      </c>
      <c r="V9">
        <f t="shared" si="5"/>
        <v>2587</v>
      </c>
    </row>
    <row r="10">
      <c r="A10" s="3" t="s">
        <v>345</v>
      </c>
      <c r="B10">
        <v>9</v>
      </c>
      <c r="E10">
        <v>1</v>
      </c>
      <c r="F10">
        <v>11.493657584279475</v>
      </c>
      <c r="G10">
        <v>0.2399858686263138</v>
      </c>
      <c r="H10">
        <v>1850</v>
      </c>
      <c r="I10">
        <v>73</v>
      </c>
      <c r="J10">
        <v>76</v>
      </c>
      <c r="L10">
        <f>F77-F74</f>
        <v>2.0455129807860253</v>
      </c>
      <c r="N10">
        <f t="shared" si="3"/>
        <v>11.493657584279475</v>
      </c>
      <c r="O10" t="str">
        <f t="shared" si="4"/>
        <v/>
      </c>
      <c r="U10">
        <v>140</v>
      </c>
      <c r="V10">
        <f t="shared" si="5"/>
        <v>2587</v>
      </c>
    </row>
    <row r="11">
      <c r="A11" s="3" t="s">
        <v>346</v>
      </c>
      <c r="B11">
        <v>10</v>
      </c>
      <c r="E11">
        <v>1</v>
      </c>
      <c r="F11">
        <v>11.681552998253274</v>
      </c>
      <c r="G11">
        <v>0.2243084763031481</v>
      </c>
      <c r="H11">
        <v>1850</v>
      </c>
      <c r="I11">
        <v>78</v>
      </c>
      <c r="J11">
        <v>80</v>
      </c>
      <c r="L11">
        <f>F81-F79</f>
        <v>1.2886125668122297</v>
      </c>
      <c r="N11">
        <f t="shared" si="3"/>
        <v>11.681552998253274</v>
      </c>
      <c r="O11" t="str">
        <f t="shared" si="4"/>
        <v/>
      </c>
      <c r="U11">
        <v>140</v>
      </c>
      <c r="V11">
        <f t="shared" si="5"/>
        <v>2587</v>
      </c>
    </row>
    <row r="12">
      <c r="A12" s="3" t="s">
        <v>347</v>
      </c>
      <c r="B12">
        <v>11</v>
      </c>
      <c r="E12">
        <v>1</v>
      </c>
      <c r="F12">
        <v>11.930425781659387</v>
      </c>
      <c r="G12">
        <v>0.21101744855168814</v>
      </c>
      <c r="H12">
        <v>1850</v>
      </c>
      <c r="I12">
        <v>85</v>
      </c>
      <c r="J12">
        <v>87</v>
      </c>
      <c r="L12">
        <f>F88-F86</f>
        <v>2.4854021973799121</v>
      </c>
      <c r="N12">
        <f t="shared" si="3"/>
        <v>11.930425781659387</v>
      </c>
      <c r="O12" t="str">
        <f t="shared" si="4"/>
        <v/>
      </c>
      <c r="U12">
        <v>140</v>
      </c>
      <c r="V12">
        <f t="shared" si="5"/>
        <v>2587</v>
      </c>
    </row>
    <row r="13">
      <c r="A13" s="3" t="s">
        <v>348</v>
      </c>
      <c r="B13">
        <v>12</v>
      </c>
      <c r="C13" s="4">
        <v>7.4447000000000001e-05</v>
      </c>
      <c r="D13" s="4">
        <f t="shared" ref="D13:D17" si="7">C13/0.00008623559</f>
        <v>0.86329785648825497</v>
      </c>
      <c r="E13">
        <v>2</v>
      </c>
      <c r="F13">
        <v>18.570767565065502</v>
      </c>
      <c r="G13">
        <v>0.24031554805120359</v>
      </c>
      <c r="H13">
        <v>1850</v>
      </c>
      <c r="I13">
        <v>93</v>
      </c>
      <c r="J13">
        <v>94</v>
      </c>
      <c r="L13">
        <f>F95-F94</f>
        <v>0.70986978340611273</v>
      </c>
      <c r="N13" t="str">
        <f t="shared" si="3"/>
        <v/>
      </c>
      <c r="O13">
        <f t="shared" si="4"/>
        <v>18.570767565065502</v>
      </c>
      <c r="U13">
        <v>140</v>
      </c>
      <c r="V13">
        <f t="shared" si="5"/>
        <v>2587</v>
      </c>
    </row>
    <row r="14">
      <c r="A14" s="3" t="s">
        <v>349</v>
      </c>
      <c r="B14">
        <v>13</v>
      </c>
      <c r="C14" s="4">
        <v>8.2000000000000001e-05</v>
      </c>
      <c r="D14" s="4">
        <f t="shared" si="7"/>
        <v>0.95088350413095102</v>
      </c>
      <c r="E14">
        <v>2</v>
      </c>
      <c r="F14">
        <v>17.873417348471616</v>
      </c>
      <c r="G14">
        <v>0.22241654123968466</v>
      </c>
      <c r="H14">
        <v>1850</v>
      </c>
      <c r="I14">
        <v>99</v>
      </c>
      <c r="J14">
        <v>101</v>
      </c>
      <c r="L14">
        <f>F102-F100</f>
        <v>1.0400131973799134</v>
      </c>
      <c r="N14" t="str">
        <f t="shared" si="3"/>
        <v/>
      </c>
      <c r="O14">
        <f t="shared" si="4"/>
        <v>17.873417348471616</v>
      </c>
      <c r="U14">
        <v>140</v>
      </c>
      <c r="V14">
        <f t="shared" si="5"/>
        <v>2587</v>
      </c>
    </row>
    <row r="15">
      <c r="A15" s="3" t="s">
        <v>350</v>
      </c>
      <c r="B15">
        <v>14</v>
      </c>
      <c r="C15" s="4">
        <v>5.5544000000000002e-05</v>
      </c>
      <c r="D15" s="4">
        <f t="shared" si="7"/>
        <v>0.64409601650548221</v>
      </c>
      <c r="E15">
        <v>2</v>
      </c>
      <c r="F15">
        <v>19.038742762445416</v>
      </c>
      <c r="G15">
        <v>0.21840579614662234</v>
      </c>
      <c r="H15">
        <v>1850</v>
      </c>
      <c r="I15">
        <v>107</v>
      </c>
      <c r="J15">
        <v>109</v>
      </c>
      <c r="L15">
        <f>F108-F110</f>
        <v>2.3377454331877772</v>
      </c>
      <c r="N15" t="str">
        <f t="shared" si="3"/>
        <v/>
      </c>
      <c r="O15">
        <f t="shared" si="4"/>
        <v>19.038742762445416</v>
      </c>
      <c r="U15">
        <v>140</v>
      </c>
      <c r="V15">
        <f t="shared" si="5"/>
        <v>2587</v>
      </c>
    </row>
    <row r="16">
      <c r="A16" s="3" t="s">
        <v>351</v>
      </c>
      <c r="B16">
        <v>15</v>
      </c>
      <c r="C16" s="4">
        <v>4.1153999999999999e-05</v>
      </c>
      <c r="D16" s="4">
        <f t="shared" si="7"/>
        <v>0.47722755767079461</v>
      </c>
      <c r="E16">
        <v>2</v>
      </c>
      <c r="F16">
        <v>18.460906545851529</v>
      </c>
      <c r="G16">
        <v>0.22625206553679802</v>
      </c>
      <c r="H16">
        <v>1850</v>
      </c>
      <c r="I16">
        <v>110</v>
      </c>
      <c r="J16">
        <v>113</v>
      </c>
      <c r="L16">
        <f>F114-F111</f>
        <v>2.9897753502183413</v>
      </c>
      <c r="N16" t="str">
        <f t="shared" si="3"/>
        <v/>
      </c>
      <c r="O16">
        <f t="shared" si="4"/>
        <v>18.460906545851529</v>
      </c>
      <c r="U16">
        <v>140</v>
      </c>
      <c r="V16">
        <f t="shared" si="5"/>
        <v>2587</v>
      </c>
    </row>
    <row r="17">
      <c r="A17" s="3" t="s">
        <v>352</v>
      </c>
      <c r="B17">
        <v>16</v>
      </c>
      <c r="C17" s="4">
        <v>3.1145400000000002e-05</v>
      </c>
      <c r="D17" s="4">
        <f t="shared" si="7"/>
        <v>0.36116642792146492</v>
      </c>
      <c r="E17">
        <v>2</v>
      </c>
      <c r="F17">
        <v>21.181070329257643</v>
      </c>
      <c r="G17">
        <v>0.23628276548279087</v>
      </c>
      <c r="H17">
        <v>1850</v>
      </c>
      <c r="N17" t="str">
        <f t="shared" si="3"/>
        <v/>
      </c>
      <c r="O17">
        <f t="shared" si="4"/>
        <v>21.181070329257643</v>
      </c>
      <c r="U17">
        <v>140</v>
      </c>
      <c r="V17">
        <f t="shared" si="5"/>
        <v>2587</v>
      </c>
    </row>
    <row r="18">
      <c r="A18" s="3" t="s">
        <v>353</v>
      </c>
      <c r="B18">
        <v>17</v>
      </c>
      <c r="E18">
        <v>4</v>
      </c>
      <c r="F18">
        <v>15.784058112663754</v>
      </c>
      <c r="G18">
        <v>0.22662054865042039</v>
      </c>
      <c r="H18">
        <v>1850</v>
      </c>
      <c r="N18" t="str">
        <f t="shared" si="3"/>
        <v/>
      </c>
      <c r="O18" t="str">
        <f t="shared" si="4"/>
        <v/>
      </c>
      <c r="U18">
        <v>140</v>
      </c>
      <c r="V18">
        <f t="shared" si="5"/>
        <v>2587</v>
      </c>
    </row>
    <row r="19">
      <c r="A19" s="3" t="s">
        <v>354</v>
      </c>
      <c r="B19">
        <v>18</v>
      </c>
      <c r="E19">
        <v>1</v>
      </c>
      <c r="F19">
        <v>11.106429896069869</v>
      </c>
      <c r="G19">
        <v>0.21738467810278062</v>
      </c>
      <c r="H19">
        <v>1850</v>
      </c>
      <c r="N19">
        <f t="shared" si="3"/>
        <v>11.106429896069869</v>
      </c>
      <c r="O19" t="str">
        <f t="shared" si="4"/>
        <v/>
      </c>
      <c r="U19">
        <v>140</v>
      </c>
      <c r="V19">
        <f t="shared" si="5"/>
        <v>2587</v>
      </c>
    </row>
    <row r="20">
      <c r="A20" s="3" t="s">
        <v>355</v>
      </c>
      <c r="B20">
        <v>19</v>
      </c>
      <c r="E20">
        <v>1</v>
      </c>
      <c r="F20">
        <v>10.521492310043667</v>
      </c>
      <c r="G20">
        <v>0.21091832380204037</v>
      </c>
      <c r="H20">
        <v>1850</v>
      </c>
      <c r="N20">
        <f t="shared" si="3"/>
        <v>10.521492310043667</v>
      </c>
      <c r="O20" t="str">
        <f t="shared" si="4"/>
        <v/>
      </c>
      <c r="U20">
        <v>140</v>
      </c>
      <c r="V20">
        <f t="shared" si="5"/>
        <v>2587</v>
      </c>
    </row>
    <row r="21">
      <c r="A21" s="3" t="s">
        <v>356</v>
      </c>
      <c r="B21">
        <v>20</v>
      </c>
      <c r="E21">
        <v>1</v>
      </c>
      <c r="F21">
        <v>11.14598109344978</v>
      </c>
      <c r="G21">
        <v>0.22506888096545008</v>
      </c>
      <c r="H21">
        <v>1850</v>
      </c>
      <c r="N21">
        <f t="shared" si="3"/>
        <v>11.14598109344978</v>
      </c>
      <c r="O21" t="str">
        <f t="shared" si="4"/>
        <v/>
      </c>
      <c r="U21">
        <v>140</v>
      </c>
      <c r="V21">
        <f t="shared" si="5"/>
        <v>2587</v>
      </c>
    </row>
    <row r="22">
      <c r="A22" s="3" t="s">
        <v>357</v>
      </c>
      <c r="B22">
        <v>21</v>
      </c>
      <c r="E22">
        <v>1</v>
      </c>
      <c r="F22">
        <v>11.364470876855894</v>
      </c>
      <c r="G22">
        <v>0.2184452561342442</v>
      </c>
      <c r="H22">
        <v>1850</v>
      </c>
      <c r="N22">
        <f t="shared" si="3"/>
        <v>11.364470876855894</v>
      </c>
      <c r="O22" t="str">
        <f t="shared" si="4"/>
        <v/>
      </c>
      <c r="U22">
        <v>140</v>
      </c>
      <c r="V22">
        <f t="shared" si="5"/>
        <v>2587</v>
      </c>
    </row>
    <row r="23">
      <c r="A23" s="3" t="s">
        <v>358</v>
      </c>
      <c r="B23">
        <v>22</v>
      </c>
      <c r="E23">
        <v>1</v>
      </c>
      <c r="F23">
        <v>11.122567660262007</v>
      </c>
      <c r="G23">
        <v>0.23148808412678254</v>
      </c>
      <c r="H23">
        <v>1850</v>
      </c>
      <c r="N23">
        <f t="shared" si="3"/>
        <v>11.122567660262007</v>
      </c>
      <c r="O23" t="str">
        <f t="shared" si="4"/>
        <v/>
      </c>
      <c r="U23">
        <v>140</v>
      </c>
      <c r="V23">
        <f t="shared" si="5"/>
        <v>2587</v>
      </c>
    </row>
    <row r="24">
      <c r="A24" s="3" t="s">
        <v>359</v>
      </c>
      <c r="B24">
        <v>23</v>
      </c>
      <c r="E24">
        <v>1</v>
      </c>
      <c r="F24">
        <v>11.934842074235807</v>
      </c>
      <c r="G24">
        <v>0.23731824241034979</v>
      </c>
      <c r="H24">
        <v>1850</v>
      </c>
      <c r="N24">
        <f t="shared" si="3"/>
        <v>11.934842074235807</v>
      </c>
      <c r="O24" t="str">
        <f t="shared" si="4"/>
        <v/>
      </c>
      <c r="U24">
        <v>140</v>
      </c>
      <c r="V24">
        <f t="shared" si="5"/>
        <v>2587</v>
      </c>
    </row>
    <row r="25">
      <c r="A25" s="3" t="s">
        <v>360</v>
      </c>
      <c r="B25">
        <v>24</v>
      </c>
      <c r="E25">
        <v>4</v>
      </c>
      <c r="F25">
        <v>21.557144392233553</v>
      </c>
      <c r="G25">
        <v>0.21988648310018938</v>
      </c>
      <c r="H25">
        <v>1850</v>
      </c>
      <c r="N25" t="str">
        <f t="shared" si="3"/>
        <v/>
      </c>
      <c r="O25" t="str">
        <f t="shared" si="4"/>
        <v/>
      </c>
      <c r="U25">
        <v>140</v>
      </c>
      <c r="V25">
        <f t="shared" si="5"/>
        <v>2587</v>
      </c>
    </row>
    <row r="26">
      <c r="A26" s="3" t="s">
        <v>361</v>
      </c>
      <c r="B26">
        <v>25</v>
      </c>
      <c r="E26">
        <v>4</v>
      </c>
      <c r="F26">
        <v>16.701942379648521</v>
      </c>
      <c r="G26">
        <v>0.17055636587427239</v>
      </c>
      <c r="H26">
        <v>1850</v>
      </c>
      <c r="N26" t="str">
        <f t="shared" si="3"/>
        <v/>
      </c>
      <c r="O26" t="str">
        <f t="shared" si="4"/>
        <v/>
      </c>
      <c r="U26">
        <v>140</v>
      </c>
      <c r="V26">
        <f t="shared" si="5"/>
        <v>2587</v>
      </c>
    </row>
    <row r="27">
      <c r="A27" s="3" t="s">
        <v>362</v>
      </c>
      <c r="B27">
        <v>26</v>
      </c>
      <c r="E27">
        <v>4</v>
      </c>
      <c r="F27">
        <v>16.557958367063485</v>
      </c>
      <c r="G27">
        <v>0.18009770817649479</v>
      </c>
      <c r="H27">
        <v>1850</v>
      </c>
      <c r="N27" t="str">
        <f t="shared" si="3"/>
        <v/>
      </c>
      <c r="O27" t="str">
        <f t="shared" si="4"/>
        <v/>
      </c>
      <c r="U27">
        <v>140</v>
      </c>
      <c r="V27">
        <f t="shared" si="5"/>
        <v>2587</v>
      </c>
    </row>
    <row r="28">
      <c r="A28" s="3" t="s">
        <v>363</v>
      </c>
      <c r="B28">
        <v>27</v>
      </c>
      <c r="E28">
        <v>4</v>
      </c>
      <c r="F28">
        <v>21.091323354478455</v>
      </c>
      <c r="G28">
        <v>0.24052220725403023</v>
      </c>
      <c r="H28">
        <v>1850</v>
      </c>
      <c r="N28" t="str">
        <f t="shared" si="3"/>
        <v/>
      </c>
      <c r="O28" t="str">
        <f t="shared" si="4"/>
        <v/>
      </c>
      <c r="U28">
        <v>140</v>
      </c>
      <c r="V28">
        <f t="shared" si="5"/>
        <v>2587</v>
      </c>
    </row>
    <row r="29">
      <c r="A29" s="3" t="s">
        <v>364</v>
      </c>
      <c r="B29">
        <v>28</v>
      </c>
      <c r="C29" s="4">
        <v>6.5874e-05</v>
      </c>
      <c r="D29" s="4">
        <f t="shared" ref="D29:D31" si="8">C29/0.00008426155</f>
        <v>0.78178006457274996</v>
      </c>
      <c r="E29">
        <v>2</v>
      </c>
      <c r="F29">
        <v>17.349305621834059</v>
      </c>
      <c r="G29">
        <v>0.21816114827367852</v>
      </c>
      <c r="H29">
        <v>1850</v>
      </c>
      <c r="N29" t="str">
        <f t="shared" si="3"/>
        <v/>
      </c>
      <c r="O29">
        <f t="shared" si="4"/>
        <v>17.349305621834059</v>
      </c>
      <c r="U29">
        <v>140</v>
      </c>
      <c r="V29">
        <f t="shared" si="5"/>
        <v>2587</v>
      </c>
    </row>
    <row r="30">
      <c r="A30" s="3" t="s">
        <v>365</v>
      </c>
      <c r="B30">
        <v>29</v>
      </c>
      <c r="C30" s="4">
        <v>7.0256650000000004e-05</v>
      </c>
      <c r="D30" s="4">
        <f t="shared" si="8"/>
        <v>0.83379251865174575</v>
      </c>
      <c r="E30">
        <v>2</v>
      </c>
      <c r="F30">
        <v>17.529633405240173</v>
      </c>
      <c r="G30">
        <v>0.21200098155260402</v>
      </c>
      <c r="H30">
        <v>1850</v>
      </c>
      <c r="N30" t="str">
        <f t="shared" si="3"/>
        <v/>
      </c>
      <c r="O30">
        <f t="shared" si="4"/>
        <v>17.529633405240173</v>
      </c>
      <c r="U30">
        <v>140</v>
      </c>
      <c r="V30">
        <f t="shared" si="5"/>
        <v>2587</v>
      </c>
    </row>
    <row r="31">
      <c r="A31" s="3" t="s">
        <v>366</v>
      </c>
      <c r="B31">
        <v>30</v>
      </c>
      <c r="C31" s="4">
        <v>7.2559809999999997e-05</v>
      </c>
      <c r="D31" s="4">
        <f t="shared" si="8"/>
        <v>0.86112598213538682</v>
      </c>
      <c r="E31">
        <v>2</v>
      </c>
      <c r="F31">
        <v>17.658058188646287</v>
      </c>
      <c r="G31">
        <v>0.21971036361901536</v>
      </c>
      <c r="H31">
        <v>1850</v>
      </c>
      <c r="N31" t="str">
        <f t="shared" si="3"/>
        <v/>
      </c>
      <c r="O31">
        <f t="shared" si="4"/>
        <v>17.658058188646287</v>
      </c>
      <c r="U31">
        <v>140</v>
      </c>
      <c r="V31">
        <f t="shared" si="5"/>
        <v>2587</v>
      </c>
    </row>
    <row r="32">
      <c r="A32" s="3" t="s">
        <v>367</v>
      </c>
      <c r="B32">
        <v>31</v>
      </c>
      <c r="C32" s="4"/>
      <c r="D32" s="4"/>
      <c r="E32">
        <v>6</v>
      </c>
      <c r="H32">
        <v>1850</v>
      </c>
      <c r="N32" t="str">
        <f t="shared" si="3"/>
        <v/>
      </c>
      <c r="O32" t="str">
        <f t="shared" si="4"/>
        <v/>
      </c>
      <c r="U32">
        <v>140</v>
      </c>
      <c r="V32">
        <f t="shared" si="5"/>
        <v>2587</v>
      </c>
    </row>
    <row r="33">
      <c r="A33" s="3" t="s">
        <v>368</v>
      </c>
      <c r="B33">
        <v>32</v>
      </c>
      <c r="C33" s="4"/>
      <c r="D33" s="4"/>
      <c r="E33">
        <v>6</v>
      </c>
      <c r="H33">
        <v>1850</v>
      </c>
      <c r="N33" t="str">
        <f t="shared" si="3"/>
        <v/>
      </c>
      <c r="O33" t="str">
        <f t="shared" si="4"/>
        <v/>
      </c>
      <c r="U33">
        <v>140</v>
      </c>
      <c r="V33">
        <f t="shared" si="5"/>
        <v>2587</v>
      </c>
    </row>
    <row r="34">
      <c r="A34" s="3" t="s">
        <v>369</v>
      </c>
      <c r="B34">
        <v>33</v>
      </c>
      <c r="C34" s="4"/>
      <c r="D34" s="4"/>
      <c r="E34">
        <v>6</v>
      </c>
      <c r="H34">
        <v>1850</v>
      </c>
      <c r="N34" t="str">
        <f t="shared" si="3"/>
        <v/>
      </c>
      <c r="O34" t="str">
        <f t="shared" si="4"/>
        <v/>
      </c>
      <c r="U34">
        <v>140</v>
      </c>
      <c r="V34">
        <f t="shared" si="5"/>
        <v>2587</v>
      </c>
    </row>
    <row r="35">
      <c r="A35" s="3" t="s">
        <v>370</v>
      </c>
      <c r="B35">
        <v>34</v>
      </c>
      <c r="C35" s="4"/>
      <c r="D35" s="4"/>
      <c r="E35">
        <v>6</v>
      </c>
      <c r="H35">
        <v>1850</v>
      </c>
      <c r="N35" t="str">
        <f t="shared" si="3"/>
        <v/>
      </c>
      <c r="O35" t="str">
        <f t="shared" si="4"/>
        <v/>
      </c>
      <c r="U35">
        <v>140</v>
      </c>
      <c r="V35">
        <f t="shared" si="5"/>
        <v>2587</v>
      </c>
    </row>
    <row r="36">
      <c r="A36" s="3" t="s">
        <v>371</v>
      </c>
      <c r="B36">
        <v>35</v>
      </c>
      <c r="E36">
        <v>1</v>
      </c>
      <c r="F36">
        <v>12.803940736244542</v>
      </c>
      <c r="G36">
        <v>0.21937437065485008</v>
      </c>
      <c r="H36">
        <v>1850</v>
      </c>
      <c r="N36">
        <f t="shared" si="3"/>
        <v>12.803940736244542</v>
      </c>
      <c r="O36" t="str">
        <f t="shared" si="4"/>
        <v/>
      </c>
      <c r="U36">
        <v>140</v>
      </c>
      <c r="V36">
        <f t="shared" si="5"/>
        <v>2587</v>
      </c>
    </row>
    <row r="37">
      <c r="A37" s="3" t="s">
        <v>372</v>
      </c>
      <c r="B37">
        <v>36</v>
      </c>
      <c r="C37" s="4">
        <v>4.3884999999999997e-05</v>
      </c>
      <c r="D37" s="4">
        <f t="shared" ref="D37:D39" si="9">C37/0.00005</f>
        <v>0.87769999999999992</v>
      </c>
      <c r="E37">
        <v>2</v>
      </c>
      <c r="F37">
        <v>20.224280519650655</v>
      </c>
      <c r="G37">
        <v>0.23632923776149312</v>
      </c>
      <c r="H37">
        <v>1850</v>
      </c>
      <c r="N37" t="str">
        <f t="shared" si="3"/>
        <v/>
      </c>
      <c r="O37">
        <f t="shared" si="4"/>
        <v>20.224280519650655</v>
      </c>
      <c r="U37">
        <v>140</v>
      </c>
      <c r="V37">
        <f t="shared" si="5"/>
        <v>2587</v>
      </c>
    </row>
    <row r="38">
      <c r="A38" s="3" t="s">
        <v>373</v>
      </c>
      <c r="B38">
        <v>37</v>
      </c>
      <c r="C38" s="4">
        <v>4.5556200000000003e-05</v>
      </c>
      <c r="D38" s="4">
        <f t="shared" si="9"/>
        <v>0.91112400000000004</v>
      </c>
      <c r="E38">
        <v>2</v>
      </c>
      <c r="F38">
        <v>20.557750933624455</v>
      </c>
      <c r="G38">
        <v>0.26943601498545056</v>
      </c>
      <c r="H38">
        <v>1850</v>
      </c>
      <c r="N38" t="str">
        <f t="shared" si="3"/>
        <v/>
      </c>
      <c r="O38">
        <f t="shared" si="4"/>
        <v>20.557750933624455</v>
      </c>
      <c r="U38">
        <v>140</v>
      </c>
      <c r="V38">
        <f t="shared" si="5"/>
        <v>2587</v>
      </c>
    </row>
    <row r="39">
      <c r="A39" s="3" t="s">
        <v>374</v>
      </c>
      <c r="B39">
        <v>38</v>
      </c>
      <c r="C39" s="4">
        <v>2.7552e-05</v>
      </c>
      <c r="D39" s="4">
        <f t="shared" si="9"/>
        <v>0.55103999999999997</v>
      </c>
      <c r="E39">
        <v>2</v>
      </c>
      <c r="F39">
        <v>21.383335717030569</v>
      </c>
      <c r="G39">
        <v>0.23943501658447944</v>
      </c>
      <c r="H39">
        <v>1850</v>
      </c>
      <c r="N39" t="str">
        <f t="shared" si="3"/>
        <v/>
      </c>
      <c r="O39">
        <f t="shared" si="4"/>
        <v>21.383335717030569</v>
      </c>
      <c r="U39">
        <v>140</v>
      </c>
      <c r="V39">
        <f t="shared" si="5"/>
        <v>2587</v>
      </c>
    </row>
    <row r="40">
      <c r="A40" s="3" t="s">
        <v>375</v>
      </c>
      <c r="B40">
        <v>39</v>
      </c>
      <c r="E40">
        <v>1</v>
      </c>
      <c r="F40">
        <v>10.732858500436681</v>
      </c>
      <c r="G40">
        <v>0.23448308958747954</v>
      </c>
      <c r="H40">
        <v>1850</v>
      </c>
      <c r="N40">
        <f t="shared" si="3"/>
        <v>10.732858500436681</v>
      </c>
      <c r="O40" t="str">
        <f t="shared" si="4"/>
        <v/>
      </c>
      <c r="U40">
        <v>140</v>
      </c>
      <c r="V40">
        <f t="shared" si="5"/>
        <v>2587</v>
      </c>
    </row>
    <row r="41">
      <c r="A41" s="3" t="s">
        <v>376</v>
      </c>
      <c r="B41">
        <v>40</v>
      </c>
      <c r="E41">
        <v>1</v>
      </c>
      <c r="F41">
        <v>10.678220283842794</v>
      </c>
      <c r="G41">
        <v>0.22235532581667558</v>
      </c>
      <c r="H41">
        <v>1850</v>
      </c>
      <c r="N41">
        <f t="shared" si="3"/>
        <v>10.678220283842794</v>
      </c>
      <c r="O41" t="str">
        <f t="shared" si="4"/>
        <v/>
      </c>
      <c r="U41">
        <v>140</v>
      </c>
      <c r="V41">
        <f t="shared" si="5"/>
        <v>2587</v>
      </c>
    </row>
    <row r="42">
      <c r="A42" s="3" t="s">
        <v>377</v>
      </c>
      <c r="B42">
        <v>41</v>
      </c>
      <c r="E42">
        <v>1</v>
      </c>
      <c r="F42">
        <v>10.729400067248909</v>
      </c>
      <c r="G42">
        <v>0.23180029921300779</v>
      </c>
      <c r="H42">
        <v>1850</v>
      </c>
      <c r="N42">
        <f t="shared" si="3"/>
        <v>10.729400067248909</v>
      </c>
      <c r="O42" t="str">
        <f t="shared" si="4"/>
        <v/>
      </c>
      <c r="U42">
        <v>140</v>
      </c>
      <c r="V42">
        <f t="shared" si="5"/>
        <v>2587</v>
      </c>
    </row>
    <row r="43">
      <c r="A43" s="3" t="s">
        <v>378</v>
      </c>
      <c r="B43">
        <v>42</v>
      </c>
      <c r="C43" s="4">
        <v>9.5269500000000007e-05</v>
      </c>
      <c r="D43" s="4">
        <f t="shared" ref="D43:D47" si="10">C43/0.000102</f>
        <v>0.93401470588235302</v>
      </c>
      <c r="E43">
        <v>2</v>
      </c>
      <c r="F43">
        <v>19.300385481222705</v>
      </c>
      <c r="G43">
        <v>0.22280707898298371</v>
      </c>
      <c r="H43">
        <v>1850</v>
      </c>
      <c r="N43" t="str">
        <f t="shared" si="3"/>
        <v/>
      </c>
      <c r="O43">
        <f t="shared" si="4"/>
        <v>19.300385481222705</v>
      </c>
      <c r="U43">
        <v>140</v>
      </c>
      <c r="V43">
        <f t="shared" si="5"/>
        <v>2587</v>
      </c>
    </row>
    <row r="44">
      <c r="A44" s="3" t="s">
        <v>379</v>
      </c>
      <c r="B44">
        <v>43</v>
      </c>
      <c r="C44" s="4">
        <f t="shared" ref="C44:C46" si="11">C43-0.00002502251</f>
        <v>7.0246990000000006e-05</v>
      </c>
      <c r="D44" s="4">
        <f t="shared" si="10"/>
        <v>0.68869598039215696</v>
      </c>
      <c r="E44">
        <v>2</v>
      </c>
      <c r="F44">
        <v>19.558186264628823</v>
      </c>
      <c r="G44">
        <v>0.24213639465601108</v>
      </c>
      <c r="H44">
        <v>1850</v>
      </c>
      <c r="N44" t="str">
        <f t="shared" si="3"/>
        <v/>
      </c>
      <c r="O44">
        <f t="shared" si="4"/>
        <v>19.558186264628823</v>
      </c>
      <c r="U44">
        <v>140</v>
      </c>
      <c r="V44">
        <f t="shared" si="5"/>
        <v>2587</v>
      </c>
    </row>
    <row r="45">
      <c r="A45" s="3" t="s">
        <v>380</v>
      </c>
      <c r="B45">
        <v>44</v>
      </c>
      <c r="C45" s="4">
        <f t="shared" si="11"/>
        <v>4.5224480000000006e-05</v>
      </c>
      <c r="D45" s="4">
        <f t="shared" si="10"/>
        <v>0.44337725490196084</v>
      </c>
      <c r="E45">
        <v>2</v>
      </c>
      <c r="F45">
        <v>22.120234048034934</v>
      </c>
      <c r="G45">
        <v>0.2542515718581892</v>
      </c>
      <c r="H45">
        <v>1850</v>
      </c>
      <c r="N45" t="str">
        <f t="shared" si="3"/>
        <v/>
      </c>
      <c r="O45">
        <f t="shared" si="4"/>
        <v>22.120234048034934</v>
      </c>
      <c r="U45">
        <v>140</v>
      </c>
      <c r="V45">
        <f t="shared" si="5"/>
        <v>2587</v>
      </c>
    </row>
    <row r="46">
      <c r="A46" s="3" t="s">
        <v>381</v>
      </c>
      <c r="B46">
        <v>45</v>
      </c>
      <c r="C46" s="4">
        <f t="shared" si="11"/>
        <v>2.0201970000000005e-05</v>
      </c>
      <c r="D46" s="4">
        <f t="shared" si="10"/>
        <v>0.19805852941176477</v>
      </c>
      <c r="E46">
        <v>2</v>
      </c>
      <c r="F46">
        <v>20.289748831441049</v>
      </c>
      <c r="G46">
        <v>0.24333494092578145</v>
      </c>
      <c r="H46">
        <v>1850</v>
      </c>
      <c r="N46" t="str">
        <f t="shared" si="3"/>
        <v/>
      </c>
      <c r="O46">
        <f t="shared" si="4"/>
        <v>20.289748831441049</v>
      </c>
      <c r="U46">
        <v>140</v>
      </c>
      <c r="V46">
        <f t="shared" si="5"/>
        <v>2587</v>
      </c>
    </row>
    <row r="47">
      <c r="A47" s="3" t="s">
        <v>382</v>
      </c>
      <c r="B47">
        <v>46</v>
      </c>
      <c r="C47" s="4">
        <v>6.6584399999999999e-05</v>
      </c>
      <c r="D47" s="4">
        <f t="shared" si="10"/>
        <v>0.65278823529411767</v>
      </c>
      <c r="E47">
        <v>2</v>
      </c>
      <c r="F47">
        <v>19.510021245414848</v>
      </c>
      <c r="G47">
        <v>0.1963655082356624</v>
      </c>
      <c r="H47">
        <v>1850</v>
      </c>
      <c r="N47" t="str">
        <f t="shared" si="3"/>
        <v/>
      </c>
      <c r="O47">
        <f t="shared" si="4"/>
        <v>19.510021245414848</v>
      </c>
      <c r="U47">
        <v>140</v>
      </c>
      <c r="V47">
        <f t="shared" si="5"/>
        <v>2587</v>
      </c>
    </row>
    <row r="48">
      <c r="A48" s="3" t="s">
        <v>383</v>
      </c>
      <c r="B48">
        <v>47</v>
      </c>
      <c r="E48">
        <v>1</v>
      </c>
      <c r="F48">
        <v>9.7544690288209601</v>
      </c>
      <c r="G48">
        <v>0.21200995628962807</v>
      </c>
      <c r="H48">
        <v>1850</v>
      </c>
      <c r="N48">
        <f t="shared" si="3"/>
        <v>9.7544690288209601</v>
      </c>
      <c r="O48" t="str">
        <f t="shared" si="4"/>
        <v/>
      </c>
      <c r="U48">
        <v>140</v>
      </c>
      <c r="V48">
        <f t="shared" si="5"/>
        <v>2587</v>
      </c>
    </row>
    <row r="49">
      <c r="A49" s="3" t="s">
        <v>384</v>
      </c>
      <c r="B49">
        <v>48</v>
      </c>
      <c r="E49">
        <v>1</v>
      </c>
      <c r="F49">
        <v>10.086684812227073</v>
      </c>
      <c r="G49">
        <v>0.18380664136410416</v>
      </c>
      <c r="H49">
        <v>1850</v>
      </c>
      <c r="N49">
        <f t="shared" si="3"/>
        <v>10.086684812227073</v>
      </c>
      <c r="O49" t="str">
        <f t="shared" si="4"/>
        <v/>
      </c>
      <c r="U49">
        <v>140</v>
      </c>
      <c r="V49">
        <f t="shared" si="5"/>
        <v>2587</v>
      </c>
    </row>
    <row r="50">
      <c r="A50" s="3" t="s">
        <v>385</v>
      </c>
      <c r="B50">
        <v>49</v>
      </c>
      <c r="C50" s="4">
        <v>0.000125</v>
      </c>
      <c r="D50" s="4">
        <f t="shared" ref="D50:D52" si="12">C50/0.00013</f>
        <v>0.96153846153846168</v>
      </c>
      <c r="E50">
        <v>2</v>
      </c>
      <c r="F50">
        <v>20.589431595633187</v>
      </c>
      <c r="G50">
        <v>0.16260828223963997</v>
      </c>
      <c r="H50">
        <v>1850</v>
      </c>
      <c r="N50" t="str">
        <f t="shared" si="3"/>
        <v/>
      </c>
      <c r="O50">
        <f t="shared" si="4"/>
        <v>20.589431595633187</v>
      </c>
      <c r="U50">
        <v>140</v>
      </c>
      <c r="V50">
        <f t="shared" si="5"/>
        <v>2587</v>
      </c>
    </row>
    <row r="51">
      <c r="A51" s="3" t="s">
        <v>386</v>
      </c>
      <c r="B51">
        <v>50</v>
      </c>
      <c r="C51" s="4">
        <f t="shared" ref="C51:C52" si="13">C50-0.000035</f>
        <v>9.0000000000000006e-05</v>
      </c>
      <c r="D51" s="4">
        <f t="shared" si="12"/>
        <v>0.6923076923076924</v>
      </c>
      <c r="E51">
        <v>2</v>
      </c>
      <c r="F51">
        <v>20.877846379039301</v>
      </c>
      <c r="G51">
        <v>0.17726857301778454</v>
      </c>
      <c r="H51">
        <v>1850</v>
      </c>
      <c r="N51" t="str">
        <f t="shared" si="3"/>
        <v/>
      </c>
      <c r="O51">
        <f t="shared" si="4"/>
        <v>20.877846379039301</v>
      </c>
      <c r="U51">
        <v>140</v>
      </c>
      <c r="V51">
        <f t="shared" si="5"/>
        <v>2587</v>
      </c>
    </row>
    <row r="52">
      <c r="A52" s="3" t="s">
        <v>387</v>
      </c>
      <c r="B52">
        <v>51</v>
      </c>
      <c r="C52" s="4">
        <f t="shared" si="13"/>
        <v>5.5000000000000009e-05</v>
      </c>
      <c r="D52" s="4">
        <f t="shared" si="12"/>
        <v>0.42307692307692318</v>
      </c>
      <c r="E52">
        <v>2</v>
      </c>
      <c r="F52">
        <v>21.303295793013099</v>
      </c>
      <c r="G52">
        <v>0.20380111312254306</v>
      </c>
      <c r="H52">
        <v>1850</v>
      </c>
      <c r="N52" t="str">
        <f t="shared" si="3"/>
        <v/>
      </c>
      <c r="O52">
        <f t="shared" si="4"/>
        <v>21.303295793013099</v>
      </c>
      <c r="U52">
        <v>140</v>
      </c>
      <c r="V52">
        <f t="shared" si="5"/>
        <v>2587</v>
      </c>
    </row>
    <row r="53">
      <c r="A53" s="3" t="s">
        <v>388</v>
      </c>
      <c r="B53">
        <v>52</v>
      </c>
      <c r="E53">
        <v>1</v>
      </c>
      <c r="F53">
        <v>8.6473385764192141</v>
      </c>
      <c r="G53">
        <v>0.19432370952822409</v>
      </c>
      <c r="H53">
        <v>1850</v>
      </c>
      <c r="N53">
        <f t="shared" si="3"/>
        <v>8.6473385764192141</v>
      </c>
      <c r="O53" t="str">
        <f t="shared" si="4"/>
        <v/>
      </c>
      <c r="U53">
        <v>140</v>
      </c>
      <c r="V53">
        <f t="shared" si="5"/>
        <v>2587</v>
      </c>
    </row>
    <row r="54">
      <c r="A54" s="3" t="s">
        <v>389</v>
      </c>
      <c r="B54">
        <v>53</v>
      </c>
      <c r="E54">
        <v>1</v>
      </c>
      <c r="F54">
        <v>9.2349633598253273</v>
      </c>
      <c r="G54">
        <v>0.92592076333919626</v>
      </c>
      <c r="H54">
        <v>1850</v>
      </c>
      <c r="N54">
        <f t="shared" si="3"/>
        <v>9.2349633598253273</v>
      </c>
      <c r="O54" t="str">
        <f t="shared" si="4"/>
        <v/>
      </c>
      <c r="U54">
        <v>140</v>
      </c>
      <c r="V54">
        <f t="shared" si="5"/>
        <v>2587</v>
      </c>
    </row>
    <row r="55">
      <c r="A55" s="3" t="s">
        <v>390</v>
      </c>
      <c r="B55">
        <v>54</v>
      </c>
      <c r="E55">
        <v>1</v>
      </c>
      <c r="F55">
        <v>11.062605143231441</v>
      </c>
      <c r="G55">
        <v>1.5665617890395003</v>
      </c>
      <c r="H55">
        <v>1850</v>
      </c>
      <c r="N55">
        <f t="shared" si="3"/>
        <v>11.062605143231441</v>
      </c>
      <c r="O55" t="str">
        <f t="shared" si="4"/>
        <v/>
      </c>
      <c r="U55">
        <v>140</v>
      </c>
      <c r="V55">
        <f t="shared" si="5"/>
        <v>2587</v>
      </c>
    </row>
    <row r="56">
      <c r="A56" s="3" t="s">
        <v>391</v>
      </c>
      <c r="B56">
        <v>55</v>
      </c>
      <c r="E56">
        <v>1</v>
      </c>
      <c r="F56">
        <v>13.410370557205241</v>
      </c>
      <c r="G56">
        <v>0.66825134540728004</v>
      </c>
      <c r="H56">
        <v>1850</v>
      </c>
      <c r="N56">
        <f t="shared" si="3"/>
        <v>13.410370557205241</v>
      </c>
      <c r="O56" t="str">
        <f t="shared" si="4"/>
        <v/>
      </c>
      <c r="U56">
        <v>140</v>
      </c>
      <c r="V56">
        <f t="shared" si="5"/>
        <v>2587</v>
      </c>
    </row>
    <row r="57">
      <c r="A57" s="3" t="s">
        <v>392</v>
      </c>
      <c r="B57">
        <v>56</v>
      </c>
      <c r="E57">
        <v>4</v>
      </c>
      <c r="F57">
        <v>15.396390141496592</v>
      </c>
      <c r="G57">
        <v>0.15507362521480778</v>
      </c>
      <c r="H57">
        <v>1850</v>
      </c>
      <c r="N57" t="str">
        <f t="shared" si="3"/>
        <v/>
      </c>
      <c r="O57" t="str">
        <f t="shared" si="4"/>
        <v/>
      </c>
      <c r="U57">
        <v>140</v>
      </c>
      <c r="V57">
        <f t="shared" si="5"/>
        <v>2587</v>
      </c>
    </row>
    <row r="58">
      <c r="A58" s="3" t="s">
        <v>393</v>
      </c>
      <c r="B58">
        <v>57</v>
      </c>
      <c r="E58">
        <v>4</v>
      </c>
      <c r="F58">
        <v>16.383587128911561</v>
      </c>
      <c r="G58">
        <v>0.18530972307843607</v>
      </c>
      <c r="H58">
        <v>1850</v>
      </c>
      <c r="N58" t="str">
        <f t="shared" si="3"/>
        <v/>
      </c>
      <c r="O58" t="str">
        <f t="shared" si="4"/>
        <v/>
      </c>
      <c r="U58">
        <v>140</v>
      </c>
      <c r="V58">
        <f t="shared" si="5"/>
        <v>2587</v>
      </c>
    </row>
    <row r="59">
      <c r="A59" s="3" t="s">
        <v>394</v>
      </c>
      <c r="B59">
        <v>58</v>
      </c>
      <c r="E59">
        <v>4</v>
      </c>
      <c r="F59">
        <v>14.639870116326527</v>
      </c>
      <c r="G59">
        <v>0.15046441568594437</v>
      </c>
      <c r="H59">
        <v>1850</v>
      </c>
      <c r="N59" t="str">
        <f t="shared" si="3"/>
        <v/>
      </c>
      <c r="O59" t="str">
        <f t="shared" si="4"/>
        <v/>
      </c>
      <c r="U59">
        <v>140</v>
      </c>
      <c r="V59">
        <f t="shared" si="5"/>
        <v>2587</v>
      </c>
    </row>
    <row r="60">
      <c r="A60" s="3" t="s">
        <v>395</v>
      </c>
      <c r="B60">
        <v>59</v>
      </c>
      <c r="E60">
        <v>4</v>
      </c>
      <c r="F60">
        <v>14.456003103741493</v>
      </c>
      <c r="G60">
        <v>0.16602703510026875</v>
      </c>
      <c r="H60">
        <v>1850</v>
      </c>
      <c r="N60" t="str">
        <f t="shared" si="3"/>
        <v/>
      </c>
      <c r="O60" t="str">
        <f t="shared" si="4"/>
        <v/>
      </c>
      <c r="U60">
        <v>140</v>
      </c>
      <c r="V60">
        <f t="shared" si="5"/>
        <v>2587</v>
      </c>
    </row>
    <row r="61">
      <c r="A61" s="3" t="s">
        <v>396</v>
      </c>
      <c r="B61">
        <v>60</v>
      </c>
      <c r="C61" s="4">
        <v>0.00011565846</v>
      </c>
      <c r="D61" s="4">
        <f t="shared" ref="D61:D65" si="14">C61/0.00012</f>
        <v>0.96382049999999997</v>
      </c>
      <c r="E61">
        <v>2</v>
      </c>
      <c r="F61">
        <v>16.122027104803493</v>
      </c>
      <c r="G61">
        <v>0.19115998176652352</v>
      </c>
      <c r="H61">
        <v>1850</v>
      </c>
      <c r="N61" t="str">
        <f t="shared" si="3"/>
        <v/>
      </c>
      <c r="O61">
        <f t="shared" si="4"/>
        <v>16.122027104803493</v>
      </c>
      <c r="U61">
        <v>140</v>
      </c>
      <c r="V61">
        <f t="shared" si="5"/>
        <v>2587</v>
      </c>
    </row>
    <row r="62">
      <c r="A62" s="3" t="s">
        <v>397</v>
      </c>
      <c r="B62">
        <v>61</v>
      </c>
      <c r="C62" s="4">
        <f t="shared" ref="C62:C65" si="15">C61-0.0000253</f>
        <v>9.0358459999999996e-05</v>
      </c>
      <c r="D62" s="4">
        <f t="shared" si="14"/>
        <v>0.75298716666666665</v>
      </c>
      <c r="E62">
        <v>2</v>
      </c>
      <c r="F62">
        <v>16.934729888209606</v>
      </c>
      <c r="G62">
        <v>0.1910418585191434</v>
      </c>
      <c r="H62">
        <v>1850</v>
      </c>
      <c r="N62" t="str">
        <f t="shared" si="3"/>
        <v/>
      </c>
      <c r="O62">
        <f t="shared" si="4"/>
        <v>16.934729888209606</v>
      </c>
      <c r="U62">
        <v>140</v>
      </c>
      <c r="V62">
        <f t="shared" si="5"/>
        <v>2587</v>
      </c>
    </row>
    <row r="63">
      <c r="A63" s="3" t="s">
        <v>398</v>
      </c>
      <c r="B63">
        <v>62</v>
      </c>
      <c r="C63" s="4">
        <f t="shared" si="15"/>
        <v>6.5058460000000005e-05</v>
      </c>
      <c r="D63" s="4">
        <f t="shared" si="14"/>
        <v>0.54215383333333333</v>
      </c>
      <c r="E63">
        <v>2</v>
      </c>
      <c r="F63">
        <v>17.297355671615719</v>
      </c>
      <c r="G63">
        <v>0.18979777113329441</v>
      </c>
      <c r="H63">
        <v>1850</v>
      </c>
      <c r="N63" t="str">
        <f t="shared" si="3"/>
        <v/>
      </c>
      <c r="O63">
        <f t="shared" si="4"/>
        <v>17.297355671615719</v>
      </c>
      <c r="U63">
        <v>140</v>
      </c>
      <c r="V63">
        <f t="shared" si="5"/>
        <v>2587</v>
      </c>
    </row>
    <row r="64">
      <c r="A64" s="3" t="s">
        <v>399</v>
      </c>
      <c r="B64">
        <v>63</v>
      </c>
      <c r="C64" s="4">
        <f t="shared" si="15"/>
        <v>3.9758460000000006e-05</v>
      </c>
      <c r="D64" s="4">
        <f t="shared" si="14"/>
        <v>0.33132050000000002</v>
      </c>
      <c r="E64">
        <v>2</v>
      </c>
      <c r="F64">
        <v>18.226652455021835</v>
      </c>
      <c r="G64">
        <v>0.18824997291249104</v>
      </c>
      <c r="H64">
        <v>1850</v>
      </c>
      <c r="N64" t="str">
        <f t="shared" si="3"/>
        <v/>
      </c>
      <c r="O64">
        <f t="shared" si="4"/>
        <v>18.226652455021835</v>
      </c>
      <c r="U64">
        <v>140</v>
      </c>
      <c r="V64">
        <f t="shared" si="5"/>
        <v>2587</v>
      </c>
    </row>
    <row r="65">
      <c r="A65" s="3" t="s">
        <v>400</v>
      </c>
      <c r="B65">
        <v>64</v>
      </c>
      <c r="C65" s="4">
        <f t="shared" si="15"/>
        <v>1.4458460000000008e-05</v>
      </c>
      <c r="D65" s="4">
        <f t="shared" si="14"/>
        <v>0.12048716666666673</v>
      </c>
      <c r="E65">
        <v>2</v>
      </c>
      <c r="F65">
        <v>21.213263868995632</v>
      </c>
      <c r="G65">
        <v>0.1902132619732799</v>
      </c>
      <c r="H65">
        <v>1850</v>
      </c>
      <c r="N65" t="str">
        <f t="shared" si="3"/>
        <v/>
      </c>
      <c r="O65">
        <f t="shared" si="4"/>
        <v>21.213263868995632</v>
      </c>
      <c r="U65">
        <v>140</v>
      </c>
      <c r="V65">
        <f t="shared" si="5"/>
        <v>2587</v>
      </c>
    </row>
    <row r="66">
      <c r="A66" s="3" t="s">
        <v>401</v>
      </c>
      <c r="B66">
        <v>65</v>
      </c>
      <c r="D66" s="4"/>
      <c r="E66">
        <v>1</v>
      </c>
      <c r="F66">
        <v>10.729315652401747</v>
      </c>
      <c r="G66">
        <v>0.18151427969466316</v>
      </c>
      <c r="H66">
        <v>1850</v>
      </c>
      <c r="N66">
        <f t="shared" ref="N66:N126" si="16">IF(E66=1,F66,"")</f>
        <v>10.729315652401747</v>
      </c>
      <c r="O66" t="str">
        <f t="shared" ref="O66" si="17">IF(E66=2,F66,"")</f>
        <v/>
      </c>
      <c r="U66">
        <v>140</v>
      </c>
      <c r="V66">
        <f t="shared" ref="V66:V126" si="18">2587</f>
        <v>2587</v>
      </c>
    </row>
    <row r="67">
      <c r="A67" s="3" t="s">
        <v>402</v>
      </c>
      <c r="B67">
        <v>66</v>
      </c>
      <c r="E67">
        <v>1</v>
      </c>
      <c r="F67">
        <v>10.728144435807859</v>
      </c>
      <c r="G67">
        <v>0.21283791072017316</v>
      </c>
      <c r="H67">
        <v>1850</v>
      </c>
      <c r="N67">
        <f t="shared" si="16"/>
        <v>10.728144435807859</v>
      </c>
      <c r="O67" t="str">
        <f t="shared" ref="O67:O126" si="19">IF(E67=2,F67,"")</f>
        <v/>
      </c>
      <c r="U67">
        <v>140</v>
      </c>
      <c r="V67">
        <f t="shared" si="18"/>
        <v>2587</v>
      </c>
    </row>
    <row r="68">
      <c r="A68" s="3" t="s">
        <v>403</v>
      </c>
      <c r="B68">
        <v>67</v>
      </c>
      <c r="E68">
        <v>1</v>
      </c>
      <c r="F68">
        <v>10.668700219213974</v>
      </c>
      <c r="G68">
        <v>0.15811600364175665</v>
      </c>
      <c r="H68">
        <v>1850</v>
      </c>
      <c r="N68">
        <f t="shared" si="16"/>
        <v>10.668700219213974</v>
      </c>
      <c r="O68" t="str">
        <f t="shared" si="19"/>
        <v/>
      </c>
      <c r="U68">
        <v>140</v>
      </c>
      <c r="V68">
        <f t="shared" si="18"/>
        <v>2587</v>
      </c>
    </row>
    <row r="69">
      <c r="A69" s="3" t="s">
        <v>404</v>
      </c>
      <c r="B69">
        <v>68</v>
      </c>
      <c r="E69">
        <v>1</v>
      </c>
      <c r="F69">
        <v>11.112537002620087</v>
      </c>
      <c r="G69">
        <v>0.20660157739119417</v>
      </c>
      <c r="H69">
        <v>1850</v>
      </c>
      <c r="N69">
        <f t="shared" si="16"/>
        <v>11.112537002620087</v>
      </c>
      <c r="O69" t="str">
        <f t="shared" si="19"/>
        <v/>
      </c>
      <c r="U69">
        <v>140</v>
      </c>
      <c r="V69">
        <f t="shared" si="18"/>
        <v>2587</v>
      </c>
    </row>
    <row r="70">
      <c r="A70" s="3" t="s">
        <v>405</v>
      </c>
      <c r="B70">
        <v>69</v>
      </c>
      <c r="C70" s="4">
        <v>0.000156</v>
      </c>
      <c r="D70" s="4">
        <f t="shared" ref="D70:D73" si="20">C70/0.00016</f>
        <v>0.97499999999999987</v>
      </c>
      <c r="E70">
        <v>2</v>
      </c>
      <c r="F70">
        <v>19.153683416593886</v>
      </c>
      <c r="G70">
        <v>0.19973787744906973</v>
      </c>
      <c r="H70">
        <v>1850</v>
      </c>
      <c r="N70" t="str">
        <f t="shared" si="16"/>
        <v/>
      </c>
      <c r="O70">
        <f t="shared" si="19"/>
        <v>19.153683416593886</v>
      </c>
      <c r="U70">
        <v>140</v>
      </c>
      <c r="V70">
        <f t="shared" si="18"/>
        <v>2587</v>
      </c>
    </row>
    <row r="71">
      <c r="A71" s="3" t="s">
        <v>406</v>
      </c>
      <c r="B71">
        <v>70</v>
      </c>
      <c r="C71" s="4">
        <f t="shared" ref="C71:C73" si="21">C70-0.00004</f>
        <v>0.000116</v>
      </c>
      <c r="D71" s="4">
        <f t="shared" si="20"/>
        <v>0.72499999999999998</v>
      </c>
      <c r="E71">
        <v>2</v>
      </c>
      <c r="F71">
        <v>18.616867200000002</v>
      </c>
      <c r="G71">
        <v>0.19186751023221102</v>
      </c>
      <c r="H71">
        <v>1850</v>
      </c>
      <c r="N71" t="str">
        <f t="shared" si="16"/>
        <v/>
      </c>
      <c r="O71">
        <f t="shared" si="19"/>
        <v>18.616867200000002</v>
      </c>
      <c r="U71">
        <v>140</v>
      </c>
      <c r="V71">
        <f t="shared" si="18"/>
        <v>2587</v>
      </c>
    </row>
    <row r="72">
      <c r="A72" s="3" t="s">
        <v>407</v>
      </c>
      <c r="B72">
        <v>71</v>
      </c>
      <c r="C72" s="4">
        <f t="shared" si="21"/>
        <v>7.6000000000000004e-05</v>
      </c>
      <c r="D72" s="4">
        <f t="shared" si="20"/>
        <v>0.47499999999999998</v>
      </c>
      <c r="E72">
        <v>2</v>
      </c>
      <c r="F72">
        <v>21.212179983406113</v>
      </c>
      <c r="G72">
        <v>0.16572049455002724</v>
      </c>
      <c r="H72">
        <v>1850</v>
      </c>
      <c r="N72" t="str">
        <f t="shared" si="16"/>
        <v/>
      </c>
      <c r="O72">
        <f t="shared" si="19"/>
        <v>21.212179983406113</v>
      </c>
      <c r="U72">
        <v>140</v>
      </c>
      <c r="V72">
        <f t="shared" si="18"/>
        <v>2587</v>
      </c>
    </row>
    <row r="73">
      <c r="A73" s="3" t="s">
        <v>408</v>
      </c>
      <c r="B73">
        <v>72</v>
      </c>
      <c r="C73" s="4">
        <f t="shared" si="21"/>
        <v>3.6000000000000001e-05</v>
      </c>
      <c r="D73" s="4">
        <f t="shared" si="20"/>
        <v>0.22499999999999998</v>
      </c>
      <c r="E73">
        <v>2</v>
      </c>
      <c r="F73">
        <v>23.324208766812227</v>
      </c>
      <c r="G73">
        <v>0.18614646681954508</v>
      </c>
      <c r="H73">
        <v>1850</v>
      </c>
      <c r="N73" t="str">
        <f t="shared" si="16"/>
        <v/>
      </c>
      <c r="O73">
        <f t="shared" si="19"/>
        <v>23.324208766812227</v>
      </c>
      <c r="U73">
        <v>140</v>
      </c>
      <c r="V73">
        <f t="shared" si="18"/>
        <v>2587</v>
      </c>
    </row>
    <row r="74">
      <c r="A74" s="3" t="s">
        <v>409</v>
      </c>
      <c r="B74">
        <v>73</v>
      </c>
      <c r="C74" s="4">
        <v>6.1124999999999995e-05</v>
      </c>
      <c r="D74" s="4">
        <f t="shared" ref="D74:D77" si="22">C74/0.000075</f>
        <v>0.81500000000000006</v>
      </c>
      <c r="E74">
        <v>2</v>
      </c>
      <c r="F74">
        <v>19.258982550218342</v>
      </c>
      <c r="G74">
        <v>0.20016697093405697</v>
      </c>
      <c r="H74">
        <v>1850</v>
      </c>
      <c r="N74" t="str">
        <f t="shared" si="16"/>
        <v/>
      </c>
      <c r="O74">
        <f t="shared" si="19"/>
        <v>19.258982550218342</v>
      </c>
      <c r="U74">
        <v>140</v>
      </c>
      <c r="V74">
        <f t="shared" si="18"/>
        <v>2587</v>
      </c>
    </row>
    <row r="75">
      <c r="A75" s="3" t="s">
        <v>410</v>
      </c>
      <c r="B75">
        <v>74</v>
      </c>
      <c r="C75" s="4">
        <v>5.2225999999999998e-05</v>
      </c>
      <c r="D75" s="4">
        <f t="shared" si="22"/>
        <v>0.69634666666666667</v>
      </c>
      <c r="E75">
        <v>2</v>
      </c>
      <c r="F75">
        <v>20.033592964192138</v>
      </c>
      <c r="G75">
        <v>0.18430173735469346</v>
      </c>
      <c r="H75">
        <v>1850</v>
      </c>
      <c r="N75" t="str">
        <f t="shared" si="16"/>
        <v/>
      </c>
      <c r="O75">
        <f t="shared" si="19"/>
        <v>20.033592964192138</v>
      </c>
      <c r="U75">
        <v>140</v>
      </c>
      <c r="V75">
        <f t="shared" si="18"/>
        <v>2587</v>
      </c>
    </row>
    <row r="76">
      <c r="A76" s="3" t="s">
        <v>411</v>
      </c>
      <c r="B76">
        <v>75</v>
      </c>
      <c r="C76" s="4">
        <v>6.823365e-05</v>
      </c>
      <c r="D76" s="4">
        <f t="shared" si="22"/>
        <v>0.90978200000000009</v>
      </c>
      <c r="E76">
        <v>2</v>
      </c>
      <c r="F76">
        <v>19.837642747598252</v>
      </c>
      <c r="G76">
        <v>0.1983312599313472</v>
      </c>
      <c r="H76">
        <v>1850</v>
      </c>
      <c r="N76" t="str">
        <f t="shared" si="16"/>
        <v/>
      </c>
      <c r="O76">
        <f t="shared" si="19"/>
        <v>19.837642747598252</v>
      </c>
      <c r="U76">
        <v>140</v>
      </c>
      <c r="V76">
        <f t="shared" si="18"/>
        <v>2587</v>
      </c>
    </row>
    <row r="77">
      <c r="A77" s="3" t="s">
        <v>412</v>
      </c>
      <c r="B77">
        <v>76</v>
      </c>
      <c r="C77" s="4">
        <v>3.5236500000000001e-05</v>
      </c>
      <c r="D77" s="4">
        <f t="shared" si="22"/>
        <v>0.46982000000000007</v>
      </c>
      <c r="E77">
        <v>2</v>
      </c>
      <c r="F77">
        <v>21.304495531004367</v>
      </c>
      <c r="G77">
        <v>0.18498060360494989</v>
      </c>
      <c r="H77">
        <v>1850</v>
      </c>
      <c r="N77" t="str">
        <f t="shared" si="16"/>
        <v/>
      </c>
      <c r="O77">
        <f t="shared" si="19"/>
        <v>21.304495531004367</v>
      </c>
      <c r="U77">
        <v>140</v>
      </c>
      <c r="V77">
        <f t="shared" si="18"/>
        <v>2587</v>
      </c>
    </row>
    <row r="78">
      <c r="A78" s="3" t="s">
        <v>413</v>
      </c>
      <c r="B78">
        <v>77</v>
      </c>
      <c r="E78">
        <v>1</v>
      </c>
      <c r="F78">
        <v>12.12046131441048</v>
      </c>
      <c r="G78">
        <v>0.18405542392246962</v>
      </c>
      <c r="H78">
        <v>1850</v>
      </c>
      <c r="N78">
        <f t="shared" si="16"/>
        <v>12.12046131441048</v>
      </c>
      <c r="O78" t="str">
        <f t="shared" si="19"/>
        <v/>
      </c>
      <c r="U78">
        <v>140</v>
      </c>
      <c r="V78">
        <f t="shared" si="18"/>
        <v>2587</v>
      </c>
    </row>
    <row r="79">
      <c r="A79" s="3" t="s">
        <v>414</v>
      </c>
      <c r="B79">
        <v>78</v>
      </c>
      <c r="C79" s="4">
        <v>6.2000000000000003e-05</v>
      </c>
      <c r="D79" s="4">
        <f t="shared" ref="D79:D81" si="23">C79/0.000073265</f>
        <v>0.84624309015218735</v>
      </c>
      <c r="E79">
        <v>2</v>
      </c>
      <c r="F79">
        <v>20.757712728384277</v>
      </c>
      <c r="G79">
        <v>0.17231464464256777</v>
      </c>
      <c r="H79">
        <v>1850</v>
      </c>
      <c r="N79" t="str">
        <f t="shared" si="16"/>
        <v/>
      </c>
      <c r="O79">
        <f t="shared" si="19"/>
        <v>20.757712728384277</v>
      </c>
      <c r="U79">
        <v>140</v>
      </c>
      <c r="V79">
        <f t="shared" si="18"/>
        <v>2587</v>
      </c>
    </row>
    <row r="80">
      <c r="A80" s="3" t="s">
        <v>415</v>
      </c>
      <c r="B80">
        <v>79</v>
      </c>
      <c r="C80" s="4">
        <f t="shared" ref="C80:C81" si="24">C79-0.000025</f>
        <v>3.7000000000000005e-05</v>
      </c>
      <c r="D80" s="4">
        <f t="shared" si="23"/>
        <v>0.50501603767146663</v>
      </c>
      <c r="E80">
        <v>2</v>
      </c>
      <c r="F80">
        <v>19.624556511790395</v>
      </c>
      <c r="G80">
        <v>0.17931521043899876</v>
      </c>
      <c r="H80">
        <v>1850</v>
      </c>
      <c r="N80" t="str">
        <f t="shared" si="16"/>
        <v/>
      </c>
      <c r="O80">
        <f t="shared" si="19"/>
        <v>19.624556511790395</v>
      </c>
      <c r="U80">
        <v>140</v>
      </c>
      <c r="V80">
        <f t="shared" si="18"/>
        <v>2587</v>
      </c>
    </row>
    <row r="81">
      <c r="A81" s="3" t="s">
        <v>416</v>
      </c>
      <c r="B81">
        <v>80</v>
      </c>
      <c r="C81" s="4">
        <f t="shared" si="24"/>
        <v>1.2000000000000004e-05</v>
      </c>
      <c r="D81" s="4">
        <f t="shared" si="23"/>
        <v>0.16378898519074597</v>
      </c>
      <c r="E81">
        <v>2</v>
      </c>
      <c r="F81">
        <v>22.046325295196507</v>
      </c>
      <c r="G81">
        <v>0.21102751815915954</v>
      </c>
      <c r="H81">
        <v>1850</v>
      </c>
      <c r="N81" t="str">
        <f t="shared" si="16"/>
        <v/>
      </c>
      <c r="O81">
        <f t="shared" si="19"/>
        <v>22.046325295196507</v>
      </c>
      <c r="U81">
        <v>140</v>
      </c>
      <c r="V81">
        <f t="shared" si="18"/>
        <v>2587</v>
      </c>
    </row>
    <row r="82">
      <c r="A82" s="3" t="s">
        <v>417</v>
      </c>
      <c r="B82">
        <v>81</v>
      </c>
      <c r="E82">
        <v>1</v>
      </c>
      <c r="F82">
        <v>8.7237650786026197</v>
      </c>
      <c r="G82">
        <v>0.17745450809634453</v>
      </c>
      <c r="H82">
        <v>1850</v>
      </c>
      <c r="N82">
        <f t="shared" si="16"/>
        <v>8.7237650786026197</v>
      </c>
      <c r="O82" t="str">
        <f t="shared" si="19"/>
        <v/>
      </c>
      <c r="U82">
        <v>140</v>
      </c>
      <c r="V82">
        <f t="shared" si="18"/>
        <v>2587</v>
      </c>
    </row>
    <row r="83">
      <c r="A83" s="3" t="s">
        <v>418</v>
      </c>
      <c r="B83">
        <v>82</v>
      </c>
      <c r="E83">
        <v>1</v>
      </c>
      <c r="F83">
        <v>4.5300898620087331</v>
      </c>
      <c r="G83">
        <v>0.57421605761127925</v>
      </c>
      <c r="H83">
        <v>1850</v>
      </c>
      <c r="N83">
        <f t="shared" si="16"/>
        <v>4.5300898620087331</v>
      </c>
      <c r="O83" t="str">
        <f t="shared" si="19"/>
        <v/>
      </c>
      <c r="U83">
        <v>140</v>
      </c>
      <c r="V83">
        <f t="shared" si="18"/>
        <v>2587</v>
      </c>
    </row>
    <row r="84">
      <c r="A84" s="3" t="s">
        <v>419</v>
      </c>
      <c r="B84">
        <v>83</v>
      </c>
      <c r="E84">
        <v>1</v>
      </c>
      <c r="F84">
        <v>5.651275275982532</v>
      </c>
      <c r="G84">
        <v>0.21769152191321095</v>
      </c>
      <c r="H84">
        <v>1850</v>
      </c>
      <c r="N84">
        <f t="shared" si="16"/>
        <v>5.651275275982532</v>
      </c>
      <c r="O84" t="str">
        <f t="shared" si="19"/>
        <v/>
      </c>
      <c r="U84">
        <v>140</v>
      </c>
      <c r="V84">
        <f t="shared" si="18"/>
        <v>2587</v>
      </c>
    </row>
    <row r="85">
      <c r="A85" s="3" t="s">
        <v>420</v>
      </c>
      <c r="B85">
        <v>84</v>
      </c>
      <c r="E85">
        <v>1</v>
      </c>
      <c r="F85">
        <v>2.7516430593886456</v>
      </c>
      <c r="G85">
        <v>0.17472385562162485</v>
      </c>
      <c r="H85">
        <v>1850</v>
      </c>
      <c r="N85">
        <f t="shared" si="16"/>
        <v>2.7516430593886456</v>
      </c>
      <c r="O85" t="str">
        <f t="shared" si="19"/>
        <v/>
      </c>
      <c r="U85">
        <v>140</v>
      </c>
      <c r="V85">
        <f t="shared" si="18"/>
        <v>2587</v>
      </c>
    </row>
    <row r="86">
      <c r="A86" s="3" t="s">
        <v>421</v>
      </c>
      <c r="B86">
        <v>85</v>
      </c>
      <c r="C86" s="4">
        <v>8.5259999999999993e-05</v>
      </c>
      <c r="D86" s="4">
        <f t="shared" ref="D86:D88" si="25">C86/0.00009526</f>
        <v>0.89502414444677714</v>
      </c>
      <c r="E86">
        <v>2</v>
      </c>
      <c r="F86">
        <v>18.754730842794761</v>
      </c>
      <c r="G86">
        <v>0.16472478625772022</v>
      </c>
      <c r="H86">
        <v>1850</v>
      </c>
      <c r="N86" t="str">
        <f t="shared" si="16"/>
        <v/>
      </c>
      <c r="O86">
        <f t="shared" si="19"/>
        <v>18.754730842794761</v>
      </c>
      <c r="U86">
        <v>140</v>
      </c>
      <c r="V86">
        <f t="shared" si="18"/>
        <v>2587</v>
      </c>
    </row>
    <row r="87">
      <c r="A87" s="3" t="s">
        <v>422</v>
      </c>
      <c r="B87">
        <v>86</v>
      </c>
      <c r="C87" s="4">
        <f t="shared" ref="C87:C88" si="26">C86-0.000026</f>
        <v>5.9259999999999998e-05</v>
      </c>
      <c r="D87" s="4">
        <f t="shared" si="25"/>
        <v>0.62208692000839805</v>
      </c>
      <c r="E87">
        <v>2</v>
      </c>
      <c r="F87">
        <v>21.417178626200872</v>
      </c>
      <c r="G87">
        <v>0.17692577432112599</v>
      </c>
      <c r="H87">
        <v>1850</v>
      </c>
      <c r="N87" t="str">
        <f t="shared" si="16"/>
        <v/>
      </c>
      <c r="O87">
        <f t="shared" si="19"/>
        <v>21.417178626200872</v>
      </c>
      <c r="U87">
        <v>140</v>
      </c>
      <c r="V87">
        <f t="shared" si="18"/>
        <v>2587</v>
      </c>
    </row>
    <row r="88">
      <c r="A88" s="3" t="s">
        <v>423</v>
      </c>
      <c r="B88">
        <v>87</v>
      </c>
      <c r="C88" s="4">
        <f t="shared" si="26"/>
        <v>3.3260000000000003e-05</v>
      </c>
      <c r="D88" s="4">
        <f t="shared" si="25"/>
        <v>0.3491496955700189</v>
      </c>
      <c r="E88">
        <v>2</v>
      </c>
      <c r="F88">
        <v>21.240133040174673</v>
      </c>
      <c r="G88">
        <v>0.18721808379301932</v>
      </c>
      <c r="H88">
        <v>1850</v>
      </c>
      <c r="N88" t="str">
        <f t="shared" si="16"/>
        <v/>
      </c>
      <c r="O88">
        <f t="shared" si="19"/>
        <v>21.240133040174673</v>
      </c>
      <c r="U88">
        <v>140</v>
      </c>
      <c r="V88">
        <f t="shared" si="18"/>
        <v>2587</v>
      </c>
    </row>
    <row r="89">
      <c r="A89" s="3" t="s">
        <v>424</v>
      </c>
      <c r="B89">
        <v>88</v>
      </c>
      <c r="E89">
        <v>1</v>
      </c>
      <c r="F89">
        <v>10.761295823580786</v>
      </c>
      <c r="G89">
        <v>0.17094100370192755</v>
      </c>
      <c r="H89">
        <v>1850</v>
      </c>
      <c r="N89">
        <f t="shared" si="16"/>
        <v>10.761295823580786</v>
      </c>
      <c r="O89" t="str">
        <f t="shared" si="19"/>
        <v/>
      </c>
      <c r="U89">
        <v>140</v>
      </c>
      <c r="V89">
        <f t="shared" si="18"/>
        <v>2587</v>
      </c>
    </row>
    <row r="90">
      <c r="A90" s="3" t="s">
        <v>425</v>
      </c>
      <c r="B90">
        <v>89</v>
      </c>
      <c r="E90">
        <v>1</v>
      </c>
      <c r="F90">
        <v>10.769075606986899</v>
      </c>
      <c r="G90">
        <v>0.16462450851373986</v>
      </c>
      <c r="H90">
        <v>1850</v>
      </c>
      <c r="N90">
        <f t="shared" si="16"/>
        <v>10.769075606986899</v>
      </c>
      <c r="O90" t="str">
        <f t="shared" si="19"/>
        <v/>
      </c>
      <c r="U90">
        <v>140</v>
      </c>
      <c r="V90">
        <f t="shared" si="18"/>
        <v>2587</v>
      </c>
    </row>
    <row r="91">
      <c r="A91" s="3" t="s">
        <v>426</v>
      </c>
      <c r="B91">
        <v>90</v>
      </c>
      <c r="E91">
        <v>1</v>
      </c>
      <c r="F91">
        <v>10.452673390393013</v>
      </c>
      <c r="G91">
        <v>0.18629883803955943</v>
      </c>
      <c r="H91">
        <v>1850</v>
      </c>
      <c r="N91">
        <f t="shared" si="16"/>
        <v>10.452673390393013</v>
      </c>
      <c r="O91" t="str">
        <f t="shared" si="19"/>
        <v/>
      </c>
      <c r="U91">
        <v>140</v>
      </c>
      <c r="V91">
        <f t="shared" si="18"/>
        <v>2587</v>
      </c>
    </row>
    <row r="92">
      <c r="A92" s="3" t="s">
        <v>427</v>
      </c>
      <c r="B92">
        <v>91</v>
      </c>
      <c r="E92">
        <v>1</v>
      </c>
      <c r="F92">
        <v>10.300149173799126</v>
      </c>
      <c r="G92">
        <v>0.17800258971224436</v>
      </c>
      <c r="H92">
        <v>1850</v>
      </c>
      <c r="N92">
        <f t="shared" si="16"/>
        <v>10.300149173799126</v>
      </c>
      <c r="O92" t="str">
        <f t="shared" si="19"/>
        <v/>
      </c>
      <c r="U92">
        <v>140</v>
      </c>
      <c r="V92">
        <f t="shared" si="18"/>
        <v>2587</v>
      </c>
    </row>
    <row r="93">
      <c r="A93" s="3" t="s">
        <v>428</v>
      </c>
      <c r="B93">
        <v>92</v>
      </c>
      <c r="E93">
        <v>1</v>
      </c>
      <c r="F93">
        <v>10.579564587772925</v>
      </c>
      <c r="G93">
        <v>0.19482717777408368</v>
      </c>
      <c r="H93">
        <v>1850</v>
      </c>
      <c r="N93">
        <f t="shared" si="16"/>
        <v>10.579564587772925</v>
      </c>
      <c r="O93" t="str">
        <f t="shared" si="19"/>
        <v/>
      </c>
      <c r="U93">
        <v>140</v>
      </c>
      <c r="V93">
        <f t="shared" si="18"/>
        <v>2587</v>
      </c>
    </row>
    <row r="94">
      <c r="A94" s="3" t="s">
        <v>429</v>
      </c>
      <c r="B94">
        <v>93</v>
      </c>
      <c r="C94" s="4">
        <v>3.5099999999999999e-05</v>
      </c>
      <c r="D94" s="4">
        <f t="shared" ref="D94:D95" si="27">C94/0.0000386445</f>
        <v>0.90827931529713157</v>
      </c>
      <c r="E94">
        <v>2</v>
      </c>
      <c r="F94">
        <v>19.16581237117904</v>
      </c>
      <c r="G94">
        <v>0.16710002411849498</v>
      </c>
      <c r="H94">
        <v>1850</v>
      </c>
      <c r="N94" t="str">
        <f t="shared" si="16"/>
        <v/>
      </c>
      <c r="O94">
        <f t="shared" si="19"/>
        <v>19.16581237117904</v>
      </c>
      <c r="U94">
        <v>140</v>
      </c>
      <c r="V94">
        <f t="shared" si="18"/>
        <v>2587</v>
      </c>
    </row>
    <row r="95">
      <c r="A95" s="3" t="s">
        <v>430</v>
      </c>
      <c r="B95">
        <v>94</v>
      </c>
      <c r="C95" s="4">
        <v>2.5996999999999999e-05</v>
      </c>
      <c r="D95" s="4">
        <f t="shared" si="27"/>
        <v>0.67272186210198082</v>
      </c>
      <c r="E95">
        <v>2</v>
      </c>
      <c r="F95">
        <v>19.875682154585153</v>
      </c>
      <c r="G95">
        <v>0.16769983411225667</v>
      </c>
      <c r="H95">
        <v>1850</v>
      </c>
      <c r="N95" t="str">
        <f t="shared" si="16"/>
        <v/>
      </c>
      <c r="O95">
        <f t="shared" si="19"/>
        <v>19.875682154585153</v>
      </c>
      <c r="U95">
        <v>140</v>
      </c>
      <c r="V95">
        <f t="shared" si="18"/>
        <v>2587</v>
      </c>
    </row>
    <row r="96">
      <c r="A96" s="3" t="s">
        <v>431</v>
      </c>
      <c r="B96">
        <v>95</v>
      </c>
      <c r="E96">
        <v>1</v>
      </c>
      <c r="F96">
        <v>13.411943937991268</v>
      </c>
      <c r="G96">
        <v>0.17402570063620029</v>
      </c>
      <c r="H96">
        <v>1850</v>
      </c>
      <c r="N96">
        <f t="shared" si="16"/>
        <v>13.411943937991268</v>
      </c>
      <c r="O96" t="str">
        <f t="shared" si="19"/>
        <v/>
      </c>
      <c r="U96">
        <v>140</v>
      </c>
      <c r="V96">
        <f t="shared" si="18"/>
        <v>2587</v>
      </c>
    </row>
    <row r="97">
      <c r="A97" s="3" t="s">
        <v>432</v>
      </c>
      <c r="B97">
        <v>96</v>
      </c>
      <c r="E97">
        <v>1</v>
      </c>
      <c r="F97">
        <v>10.433109351965065</v>
      </c>
      <c r="G97">
        <v>0.18686233411165132</v>
      </c>
      <c r="H97">
        <v>1850</v>
      </c>
      <c r="N97">
        <f t="shared" si="16"/>
        <v>10.433109351965065</v>
      </c>
      <c r="O97" t="str">
        <f t="shared" si="19"/>
        <v/>
      </c>
      <c r="U97">
        <v>140</v>
      </c>
      <c r="V97">
        <f t="shared" si="18"/>
        <v>2587</v>
      </c>
    </row>
    <row r="98">
      <c r="A98" s="3" t="s">
        <v>433</v>
      </c>
      <c r="B98">
        <v>97</v>
      </c>
      <c r="E98">
        <v>1</v>
      </c>
      <c r="F98">
        <v>10.141134135371178</v>
      </c>
      <c r="G98">
        <v>0.16965747237704093</v>
      </c>
      <c r="H98">
        <v>1850</v>
      </c>
      <c r="N98">
        <f t="shared" si="16"/>
        <v>10.141134135371178</v>
      </c>
      <c r="O98" t="str">
        <f t="shared" si="19"/>
        <v/>
      </c>
      <c r="U98">
        <v>140</v>
      </c>
      <c r="V98">
        <f t="shared" si="18"/>
        <v>2587</v>
      </c>
    </row>
    <row r="99">
      <c r="A99" s="3" t="s">
        <v>434</v>
      </c>
      <c r="B99">
        <v>98</v>
      </c>
      <c r="E99">
        <v>1</v>
      </c>
      <c r="F99">
        <v>9.9971559187772918</v>
      </c>
      <c r="G99">
        <v>0.1790639627998096</v>
      </c>
      <c r="H99">
        <v>1850</v>
      </c>
      <c r="N99">
        <f t="shared" si="16"/>
        <v>9.9971559187772918</v>
      </c>
      <c r="O99" t="str">
        <f t="shared" si="19"/>
        <v/>
      </c>
      <c r="U99">
        <v>140</v>
      </c>
      <c r="V99">
        <f t="shared" si="18"/>
        <v>2587</v>
      </c>
    </row>
    <row r="100">
      <c r="A100" s="3" t="s">
        <v>435</v>
      </c>
      <c r="B100">
        <v>99</v>
      </c>
      <c r="C100" s="4">
        <v>0.00010823</v>
      </c>
      <c r="D100" s="4">
        <f t="shared" ref="D100:D102" si="28">C100/0.000115</f>
        <v>0.9411304347826086</v>
      </c>
      <c r="E100">
        <v>2</v>
      </c>
      <c r="F100">
        <v>18.313837702183406</v>
      </c>
      <c r="G100">
        <v>0.19115796795722748</v>
      </c>
      <c r="H100">
        <v>1850</v>
      </c>
      <c r="N100" t="str">
        <f t="shared" si="16"/>
        <v/>
      </c>
      <c r="O100">
        <f t="shared" si="19"/>
        <v>18.313837702183406</v>
      </c>
      <c r="U100">
        <v>140</v>
      </c>
      <c r="V100">
        <f t="shared" si="18"/>
        <v>2587</v>
      </c>
    </row>
    <row r="101">
      <c r="A101" s="3" t="s">
        <v>436</v>
      </c>
      <c r="B101">
        <v>100</v>
      </c>
      <c r="C101" s="4">
        <f>C100-0.000038152</f>
        <v>7.0078000000000002e-05</v>
      </c>
      <c r="D101" s="4">
        <f t="shared" si="28"/>
        <v>0.60937391304347821</v>
      </c>
      <c r="E101">
        <v>2</v>
      </c>
      <c r="F101">
        <v>19.379612485589519</v>
      </c>
      <c r="G101">
        <v>0.19568465902585314</v>
      </c>
      <c r="H101">
        <v>1850</v>
      </c>
      <c r="N101" t="str">
        <f t="shared" si="16"/>
        <v/>
      </c>
      <c r="O101">
        <f t="shared" si="19"/>
        <v>19.379612485589519</v>
      </c>
      <c r="U101">
        <v>140</v>
      </c>
      <c r="V101">
        <f t="shared" si="18"/>
        <v>2587</v>
      </c>
    </row>
    <row r="102">
      <c r="A102" s="3" t="s">
        <v>437</v>
      </c>
      <c r="B102">
        <v>101</v>
      </c>
      <c r="C102" s="4">
        <f>C101-0.000018152</f>
        <v>5.1926000000000004e-05</v>
      </c>
      <c r="D102" s="4">
        <f t="shared" si="28"/>
        <v>0.45153043478260874</v>
      </c>
      <c r="E102">
        <v>2</v>
      </c>
      <c r="F102">
        <v>19.353850899563319</v>
      </c>
      <c r="G102">
        <v>0.17944277945611076</v>
      </c>
      <c r="H102">
        <v>1850</v>
      </c>
      <c r="N102" t="str">
        <f t="shared" si="16"/>
        <v/>
      </c>
      <c r="O102">
        <f t="shared" si="19"/>
        <v>19.353850899563319</v>
      </c>
      <c r="U102">
        <v>140</v>
      </c>
      <c r="V102">
        <f t="shared" si="18"/>
        <v>2587</v>
      </c>
    </row>
    <row r="103">
      <c r="A103" s="3" t="s">
        <v>438</v>
      </c>
      <c r="B103">
        <v>102</v>
      </c>
      <c r="E103">
        <v>1</v>
      </c>
      <c r="F103">
        <v>12.990324682969433</v>
      </c>
      <c r="G103">
        <v>0.17520049549258818</v>
      </c>
      <c r="H103">
        <v>1850</v>
      </c>
      <c r="N103">
        <f t="shared" si="16"/>
        <v>12.990324682969433</v>
      </c>
      <c r="O103" t="str">
        <f t="shared" si="19"/>
        <v/>
      </c>
      <c r="U103">
        <v>140</v>
      </c>
      <c r="V103">
        <f t="shared" si="18"/>
        <v>2587</v>
      </c>
    </row>
    <row r="104">
      <c r="A104" s="3" t="s">
        <v>439</v>
      </c>
      <c r="B104">
        <v>103</v>
      </c>
      <c r="E104">
        <v>1</v>
      </c>
      <c r="F104">
        <v>12.657421466375546</v>
      </c>
      <c r="G104">
        <v>0.16907149241031147</v>
      </c>
      <c r="H104">
        <v>1850</v>
      </c>
      <c r="N104">
        <f t="shared" si="16"/>
        <v>12.657421466375546</v>
      </c>
      <c r="O104" t="str">
        <f t="shared" si="19"/>
        <v/>
      </c>
      <c r="U104">
        <v>140</v>
      </c>
      <c r="V104">
        <f t="shared" si="18"/>
        <v>2587</v>
      </c>
    </row>
    <row r="105">
      <c r="A105" s="3" t="s">
        <v>440</v>
      </c>
      <c r="B105">
        <v>104</v>
      </c>
      <c r="E105">
        <v>1</v>
      </c>
      <c r="F105">
        <v>12.645544249781659</v>
      </c>
      <c r="G105">
        <v>0.18898511982251406</v>
      </c>
      <c r="H105">
        <v>1850</v>
      </c>
      <c r="N105">
        <f t="shared" si="16"/>
        <v>12.645544249781659</v>
      </c>
      <c r="O105" t="str">
        <f t="shared" si="19"/>
        <v/>
      </c>
      <c r="U105">
        <v>140</v>
      </c>
      <c r="V105">
        <f t="shared" si="18"/>
        <v>2587</v>
      </c>
    </row>
    <row r="106">
      <c r="A106" s="3" t="s">
        <v>441</v>
      </c>
      <c r="B106">
        <v>105</v>
      </c>
      <c r="E106">
        <v>1</v>
      </c>
      <c r="F106">
        <v>12.800679033187773</v>
      </c>
      <c r="G106">
        <v>0.17287910909146773</v>
      </c>
      <c r="H106">
        <v>1850</v>
      </c>
      <c r="N106">
        <f t="shared" si="16"/>
        <v>12.800679033187773</v>
      </c>
      <c r="O106" t="str">
        <f t="shared" si="19"/>
        <v/>
      </c>
      <c r="U106">
        <v>140</v>
      </c>
      <c r="V106">
        <f t="shared" si="18"/>
        <v>2587</v>
      </c>
    </row>
    <row r="107">
      <c r="A107" s="3" t="s">
        <v>442</v>
      </c>
      <c r="B107">
        <v>106</v>
      </c>
      <c r="E107">
        <v>1</v>
      </c>
      <c r="F107">
        <v>12.696144447161572</v>
      </c>
      <c r="G107">
        <v>0.16022269777497072</v>
      </c>
      <c r="H107">
        <v>1850</v>
      </c>
      <c r="N107">
        <f t="shared" si="16"/>
        <v>12.696144447161572</v>
      </c>
      <c r="O107" t="str">
        <f t="shared" si="19"/>
        <v/>
      </c>
      <c r="U107">
        <v>140</v>
      </c>
      <c r="V107">
        <f t="shared" si="18"/>
        <v>2587</v>
      </c>
    </row>
    <row r="108">
      <c r="A108" s="3" t="s">
        <v>443</v>
      </c>
      <c r="B108">
        <v>107</v>
      </c>
      <c r="C108" s="4">
        <v>2.8265000000000001e-05</v>
      </c>
      <c r="D108" s="4">
        <f t="shared" ref="D108:D110" si="29">C108/0.0001036</f>
        <v>0.27282818532818537</v>
      </c>
      <c r="E108">
        <v>2</v>
      </c>
      <c r="F108">
        <v>19.689430230567687</v>
      </c>
      <c r="G108">
        <v>0.1795577661584149</v>
      </c>
      <c r="H108">
        <v>1850</v>
      </c>
      <c r="N108" t="str">
        <f t="shared" si="16"/>
        <v/>
      </c>
      <c r="O108">
        <f t="shared" si="19"/>
        <v>19.689430230567687</v>
      </c>
      <c r="U108">
        <v>140</v>
      </c>
      <c r="V108">
        <f t="shared" si="18"/>
        <v>2587</v>
      </c>
    </row>
    <row r="109">
      <c r="A109" s="3" t="s">
        <v>444</v>
      </c>
      <c r="B109">
        <v>108</v>
      </c>
      <c r="C109" s="4">
        <f t="shared" ref="C109:C110" si="30">C108+0.000035267</f>
        <v>6.3532000000000001e-05</v>
      </c>
      <c r="D109" s="4">
        <f t="shared" si="29"/>
        <v>0.61324324324324331</v>
      </c>
      <c r="E109">
        <v>2</v>
      </c>
      <c r="F109">
        <v>16.771325013973801</v>
      </c>
      <c r="G109">
        <v>0.18811697534140828</v>
      </c>
      <c r="H109">
        <v>1850</v>
      </c>
      <c r="N109" t="str">
        <f t="shared" si="16"/>
        <v/>
      </c>
      <c r="O109">
        <f t="shared" si="19"/>
        <v>16.771325013973801</v>
      </c>
      <c r="U109">
        <v>140</v>
      </c>
      <c r="V109">
        <f t="shared" si="18"/>
        <v>2587</v>
      </c>
    </row>
    <row r="110">
      <c r="A110" s="3" t="s">
        <v>445</v>
      </c>
      <c r="B110">
        <v>109</v>
      </c>
      <c r="C110" s="4">
        <f t="shared" si="30"/>
        <v>9.8799000000000001e-05</v>
      </c>
      <c r="D110" s="4">
        <f t="shared" si="29"/>
        <v>0.95365830115830119</v>
      </c>
      <c r="E110">
        <v>2</v>
      </c>
      <c r="F110">
        <v>17.35168479737991</v>
      </c>
      <c r="G110">
        <v>0.19221789164637512</v>
      </c>
      <c r="H110">
        <v>1850</v>
      </c>
      <c r="N110" t="str">
        <f t="shared" si="16"/>
        <v/>
      </c>
      <c r="O110">
        <f t="shared" si="19"/>
        <v>17.35168479737991</v>
      </c>
      <c r="U110">
        <v>140</v>
      </c>
      <c r="V110">
        <f t="shared" si="18"/>
        <v>2587</v>
      </c>
    </row>
    <row r="111">
      <c r="A111" s="3" t="s">
        <v>446</v>
      </c>
      <c r="B111">
        <v>110</v>
      </c>
      <c r="C111" s="4">
        <f>C110+0.000025267</f>
        <v>0.00012406599999999999</v>
      </c>
      <c r="D111" s="4">
        <f t="shared" ref="D111:D114" si="31">C111/0.000136</f>
        <v>0.91224999999999989</v>
      </c>
      <c r="E111">
        <v>2</v>
      </c>
      <c r="F111">
        <v>16.80886621135371</v>
      </c>
      <c r="G111">
        <v>0.18934611574509158</v>
      </c>
      <c r="H111">
        <v>1850</v>
      </c>
      <c r="N111" t="str">
        <f t="shared" si="16"/>
        <v/>
      </c>
      <c r="O111">
        <f t="shared" si="19"/>
        <v>16.80886621135371</v>
      </c>
      <c r="U111">
        <v>140</v>
      </c>
      <c r="V111">
        <f t="shared" si="18"/>
        <v>2587</v>
      </c>
    </row>
    <row r="112">
      <c r="A112" s="3" t="s">
        <v>447</v>
      </c>
      <c r="B112">
        <v>111</v>
      </c>
      <c r="C112" s="4">
        <f>C111-0.0000365974</f>
        <v>8.7468599999999984e-05</v>
      </c>
      <c r="D112" s="4">
        <f t="shared" si="31"/>
        <v>0.64315147058823519</v>
      </c>
      <c r="E112">
        <v>2</v>
      </c>
      <c r="F112">
        <v>19.077237994759827</v>
      </c>
      <c r="G112">
        <v>0.17913944069090426</v>
      </c>
      <c r="H112">
        <v>1850</v>
      </c>
      <c r="N112" t="str">
        <f t="shared" si="16"/>
        <v/>
      </c>
      <c r="O112">
        <f t="shared" si="19"/>
        <v>19.077237994759827</v>
      </c>
      <c r="U112">
        <v>140</v>
      </c>
      <c r="V112">
        <f t="shared" si="18"/>
        <v>2587</v>
      </c>
    </row>
    <row r="113">
      <c r="A113" s="3" t="s">
        <v>448</v>
      </c>
      <c r="B113">
        <v>112</v>
      </c>
      <c r="C113" s="4">
        <v>9.8321999999999998e-05</v>
      </c>
      <c r="D113" s="4">
        <f t="shared" si="31"/>
        <v>0.72295588235294117</v>
      </c>
      <c r="E113">
        <v>2</v>
      </c>
      <c r="F113">
        <v>18.263279778165938</v>
      </c>
      <c r="G113">
        <v>0.19033026227094421</v>
      </c>
      <c r="H113">
        <v>1850</v>
      </c>
      <c r="N113" t="str">
        <f t="shared" si="16"/>
        <v/>
      </c>
      <c r="O113">
        <f t="shared" si="19"/>
        <v>18.263279778165938</v>
      </c>
      <c r="U113">
        <v>140</v>
      </c>
      <c r="V113">
        <f t="shared" si="18"/>
        <v>2587</v>
      </c>
    </row>
    <row r="114">
      <c r="A114" s="3" t="s">
        <v>449</v>
      </c>
      <c r="B114">
        <v>113</v>
      </c>
      <c r="C114" s="4">
        <f>C113-0.0000365974</f>
        <v>6.1724599999999995e-05</v>
      </c>
      <c r="D114" s="4">
        <f t="shared" si="31"/>
        <v>0.45385735294117646</v>
      </c>
      <c r="E114">
        <v>2</v>
      </c>
      <c r="F114">
        <v>19.798641561572051</v>
      </c>
      <c r="G114">
        <v>0.18081616114510229</v>
      </c>
      <c r="H114">
        <v>1850</v>
      </c>
      <c r="N114" t="str">
        <f t="shared" si="16"/>
        <v/>
      </c>
      <c r="O114">
        <f t="shared" si="19"/>
        <v>19.798641561572051</v>
      </c>
      <c r="U114">
        <v>140</v>
      </c>
      <c r="V114">
        <f t="shared" si="18"/>
        <v>2587</v>
      </c>
    </row>
    <row r="115">
      <c r="A115" s="3" t="s">
        <v>450</v>
      </c>
      <c r="B115">
        <v>114</v>
      </c>
      <c r="E115">
        <v>1</v>
      </c>
      <c r="F115">
        <v>10.724162344978165</v>
      </c>
      <c r="G115">
        <v>0.16988981527326588</v>
      </c>
      <c r="H115">
        <v>1850</v>
      </c>
      <c r="N115">
        <f t="shared" si="16"/>
        <v>10.724162344978165</v>
      </c>
      <c r="O115" t="str">
        <f t="shared" si="19"/>
        <v/>
      </c>
      <c r="U115">
        <v>140</v>
      </c>
      <c r="V115">
        <f t="shared" si="18"/>
        <v>2587</v>
      </c>
    </row>
    <row r="116">
      <c r="A116" s="3" t="s">
        <v>451</v>
      </c>
      <c r="B116">
        <v>115</v>
      </c>
      <c r="E116">
        <v>4</v>
      </c>
      <c r="F116">
        <v>15.881990538378684</v>
      </c>
      <c r="G116">
        <v>0.30918718750512958</v>
      </c>
      <c r="H116">
        <v>1850</v>
      </c>
      <c r="N116" t="str">
        <f t="shared" si="16"/>
        <v/>
      </c>
      <c r="O116" t="str">
        <f t="shared" si="19"/>
        <v/>
      </c>
      <c r="U116">
        <v>140</v>
      </c>
      <c r="V116">
        <f t="shared" si="18"/>
        <v>2587</v>
      </c>
    </row>
    <row r="117">
      <c r="A117" s="3" t="s">
        <v>452</v>
      </c>
      <c r="B117">
        <v>116</v>
      </c>
      <c r="E117">
        <v>4</v>
      </c>
      <c r="F117">
        <v>16.164191525793647</v>
      </c>
      <c r="G117">
        <v>0.30400583508687484</v>
      </c>
      <c r="H117">
        <v>1850</v>
      </c>
      <c r="N117" t="str">
        <f t="shared" si="16"/>
        <v/>
      </c>
      <c r="O117" t="str">
        <f t="shared" si="19"/>
        <v/>
      </c>
      <c r="U117">
        <v>140</v>
      </c>
      <c r="V117">
        <f t="shared" si="18"/>
        <v>2587</v>
      </c>
    </row>
    <row r="118">
      <c r="A118" s="3" t="s">
        <v>453</v>
      </c>
      <c r="B118">
        <v>117</v>
      </c>
      <c r="E118">
        <v>4</v>
      </c>
      <c r="F118">
        <v>14.947961513208613</v>
      </c>
      <c r="G118">
        <v>0.30293862872073307</v>
      </c>
      <c r="H118">
        <v>1850</v>
      </c>
      <c r="N118" t="str">
        <f t="shared" si="16"/>
        <v/>
      </c>
      <c r="O118" t="str">
        <f t="shared" si="19"/>
        <v/>
      </c>
      <c r="U118">
        <v>140</v>
      </c>
      <c r="V118">
        <f t="shared" si="18"/>
        <v>2587</v>
      </c>
    </row>
    <row r="119">
      <c r="A119" s="3" t="s">
        <v>454</v>
      </c>
      <c r="B119">
        <v>118</v>
      </c>
      <c r="E119">
        <v>4</v>
      </c>
      <c r="F119">
        <v>15.405140500623581</v>
      </c>
      <c r="G119">
        <v>0.30457971734492589</v>
      </c>
      <c r="H119">
        <v>1850</v>
      </c>
      <c r="N119" t="str">
        <f t="shared" si="16"/>
        <v/>
      </c>
      <c r="O119" t="str">
        <f t="shared" si="19"/>
        <v/>
      </c>
      <c r="U119">
        <v>140</v>
      </c>
      <c r="V119">
        <f t="shared" si="18"/>
        <v>2587</v>
      </c>
    </row>
    <row r="120">
      <c r="A120" s="3" t="s">
        <v>455</v>
      </c>
      <c r="B120">
        <v>119</v>
      </c>
      <c r="E120">
        <v>4</v>
      </c>
      <c r="F120">
        <v>14.632667652607706</v>
      </c>
      <c r="G120">
        <v>0.29794921282220926</v>
      </c>
      <c r="H120">
        <v>1850</v>
      </c>
      <c r="N120" t="str">
        <f t="shared" si="16"/>
        <v/>
      </c>
      <c r="O120" t="str">
        <f t="shared" si="19"/>
        <v/>
      </c>
      <c r="U120">
        <v>140</v>
      </c>
      <c r="V120">
        <f t="shared" si="18"/>
        <v>2587</v>
      </c>
    </row>
    <row r="121">
      <c r="A121" s="3" t="s">
        <v>456</v>
      </c>
      <c r="B121">
        <v>120</v>
      </c>
      <c r="E121">
        <v>4</v>
      </c>
      <c r="F121">
        <v>14.422807640022674</v>
      </c>
      <c r="G121">
        <v>0.2937746831331709</v>
      </c>
      <c r="H121">
        <v>1850</v>
      </c>
      <c r="N121" t="str">
        <f t="shared" si="16"/>
        <v/>
      </c>
      <c r="O121" t="str">
        <f t="shared" si="19"/>
        <v/>
      </c>
      <c r="U121">
        <v>140</v>
      </c>
      <c r="V121">
        <f t="shared" si="18"/>
        <v>2587</v>
      </c>
    </row>
    <row r="122">
      <c r="A122" s="3" t="s">
        <v>457</v>
      </c>
      <c r="B122">
        <v>121</v>
      </c>
      <c r="E122">
        <v>4</v>
      </c>
      <c r="F122">
        <v>13.423550627437638</v>
      </c>
      <c r="G122">
        <v>0.30231733837357488</v>
      </c>
      <c r="H122">
        <v>1850</v>
      </c>
      <c r="N122" t="str">
        <f t="shared" si="16"/>
        <v/>
      </c>
      <c r="O122" t="str">
        <f t="shared" si="19"/>
        <v/>
      </c>
      <c r="U122">
        <v>140</v>
      </c>
      <c r="V122">
        <f t="shared" si="18"/>
        <v>2587</v>
      </c>
    </row>
    <row r="123">
      <c r="A123" s="3" t="s">
        <v>458</v>
      </c>
      <c r="B123">
        <v>122</v>
      </c>
      <c r="E123">
        <v>4</v>
      </c>
      <c r="F123">
        <v>14.467931614852606</v>
      </c>
      <c r="G123">
        <v>0.3067080231233284</v>
      </c>
      <c r="H123">
        <v>1850</v>
      </c>
      <c r="N123" t="str">
        <f t="shared" si="16"/>
        <v/>
      </c>
      <c r="O123" t="str">
        <f t="shared" si="19"/>
        <v/>
      </c>
      <c r="U123">
        <v>140</v>
      </c>
      <c r="V123">
        <f t="shared" si="18"/>
        <v>2587</v>
      </c>
    </row>
    <row r="124">
      <c r="A124" s="3" t="s">
        <v>459</v>
      </c>
      <c r="B124">
        <v>123</v>
      </c>
      <c r="E124">
        <v>4</v>
      </c>
      <c r="F124">
        <v>16.15716060226757</v>
      </c>
      <c r="G124">
        <v>0.30558232035203309</v>
      </c>
      <c r="H124">
        <v>1850</v>
      </c>
      <c r="N124" t="str">
        <f t="shared" si="16"/>
        <v/>
      </c>
      <c r="O124" t="str">
        <f t="shared" si="19"/>
        <v/>
      </c>
      <c r="U124">
        <v>140</v>
      </c>
      <c r="V124">
        <f t="shared" si="18"/>
        <v>2587</v>
      </c>
    </row>
    <row r="125">
      <c r="A125" s="3" t="s">
        <v>460</v>
      </c>
      <c r="B125">
        <v>124</v>
      </c>
      <c r="E125">
        <v>4</v>
      </c>
      <c r="F125">
        <v>15.667682754251697</v>
      </c>
      <c r="G125">
        <v>0.30747623555563924</v>
      </c>
      <c r="H125">
        <v>1850</v>
      </c>
      <c r="N125" t="str">
        <f t="shared" si="16"/>
        <v/>
      </c>
      <c r="O125" t="str">
        <f t="shared" si="19"/>
        <v/>
      </c>
      <c r="U125">
        <v>140</v>
      </c>
      <c r="V125">
        <f t="shared" si="18"/>
        <v>2587</v>
      </c>
    </row>
    <row r="126">
      <c r="A126" s="3" t="s">
        <v>461</v>
      </c>
      <c r="B126">
        <v>125</v>
      </c>
      <c r="E126">
        <v>4</v>
      </c>
      <c r="F126">
        <v>15.724119741666664</v>
      </c>
      <c r="G126">
        <v>0.31010605356557774</v>
      </c>
      <c r="H126">
        <v>1850</v>
      </c>
      <c r="N126" t="str">
        <f t="shared" si="16"/>
        <v/>
      </c>
      <c r="O126" t="str">
        <f t="shared" si="19"/>
        <v/>
      </c>
      <c r="U126">
        <v>140</v>
      </c>
      <c r="V126">
        <f t="shared" si="18"/>
        <v>2587</v>
      </c>
    </row>
  </sheetData>
  <hyperlinks>
    <hyperlink r:id="rId1" ref="A2"/>
    <hyperlink r:id="rId1" ref="A3:A126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2" activeCellId="0" sqref="A2:A122"/>
    </sheetView>
  </sheetViews>
  <sheetFormatPr baseColWidth="10" defaultRowHeight="15"/>
  <cols>
    <col bestFit="1" customWidth="1" min="1" max="1" width="14"/>
    <col customWidth="1" min="2" max="2" width="14"/>
    <col bestFit="1" customWidth="1" min="3" max="3" width="15.5703125"/>
    <col bestFit="1" customWidth="1" min="4" max="4" width="8.5703125"/>
    <col bestFit="1" customWidth="1" min="5" max="5" width="8.7109375"/>
    <col customWidth="1" min="8" max="8" width="14"/>
  </cols>
  <sheetData>
    <row r="1">
      <c r="A1" t="s">
        <v>293</v>
      </c>
      <c r="B1" t="s">
        <v>333</v>
      </c>
      <c r="C1" t="s">
        <v>334</v>
      </c>
      <c r="D1" t="s">
        <v>296</v>
      </c>
      <c r="E1" t="s">
        <v>462</v>
      </c>
      <c r="F1" t="s">
        <v>298</v>
      </c>
      <c r="G1" t="s">
        <v>299</v>
      </c>
      <c r="H1" t="s">
        <v>300</v>
      </c>
      <c r="I1" t="s">
        <v>301</v>
      </c>
      <c r="J1" t="s">
        <v>302</v>
      </c>
      <c r="L1" t="s">
        <v>303</v>
      </c>
      <c r="N1" t="s">
        <v>304</v>
      </c>
      <c r="O1" t="s">
        <v>305</v>
      </c>
      <c r="P1" t="s">
        <v>306</v>
      </c>
      <c r="Q1" t="s">
        <v>307</v>
      </c>
      <c r="R1" t="s">
        <v>308</v>
      </c>
      <c r="S1" t="s">
        <v>309</v>
      </c>
      <c r="T1" t="s">
        <v>266</v>
      </c>
      <c r="U1" t="s">
        <v>463</v>
      </c>
      <c r="V1" t="s">
        <v>300</v>
      </c>
    </row>
    <row r="2">
      <c r="A2" s="3" t="s">
        <v>464</v>
      </c>
      <c r="B2">
        <v>1</v>
      </c>
      <c r="E2">
        <v>1</v>
      </c>
      <c r="F2">
        <v>7.4835462503075876</v>
      </c>
      <c r="G2">
        <v>0.065974279999999996</v>
      </c>
      <c r="H2">
        <v>1850</v>
      </c>
      <c r="I2">
        <v>2</v>
      </c>
      <c r="J2">
        <v>6</v>
      </c>
      <c r="L2">
        <f>F7-F4</f>
        <v>3.2146528519480526</v>
      </c>
      <c r="N2">
        <f t="shared" ref="N2:N65" si="32">IF(E2=1,F2,"")</f>
        <v>7.4835462503075876</v>
      </c>
      <c r="O2" t="str">
        <f t="shared" ref="O2:O65" si="33">IF(E2=2,F2,"")</f>
        <v/>
      </c>
      <c r="P2">
        <f>AVERAGE(G2,G8:G10,G16:G18,G22:G23,G25,G29:G36,G39,G42:G44,G49:G52,G56,G60,G79:G80,G86:G88,G92:G96,G104:G105,G115:G117,G121:G122)</f>
        <v>0.058818405555555557</v>
      </c>
      <c r="Q2">
        <f>MIN(N2:N124)</f>
        <v>3.7248960117566647</v>
      </c>
      <c r="R2">
        <f>AVERAGE(N2:N124)</f>
        <v>10.939811453075112</v>
      </c>
      <c r="S2">
        <f>MAX(N2:N124)</f>
        <v>14.987256886534517</v>
      </c>
      <c r="T2">
        <f>COUNT(N2:N124)</f>
        <v>45</v>
      </c>
      <c r="U2">
        <v>145</v>
      </c>
      <c r="V2">
        <v>2534</v>
      </c>
    </row>
    <row r="3">
      <c r="A3" s="3" t="s">
        <v>465</v>
      </c>
      <c r="B3">
        <v>2</v>
      </c>
      <c r="C3" s="4">
        <v>1.85941807959401e-05</v>
      </c>
      <c r="D3" s="4"/>
      <c r="E3">
        <v>2</v>
      </c>
      <c r="F3">
        <v>16.154925564183184</v>
      </c>
      <c r="G3">
        <v>0.079685989999999998</v>
      </c>
      <c r="H3">
        <v>1850</v>
      </c>
      <c r="I3">
        <v>10</v>
      </c>
      <c r="J3">
        <v>14</v>
      </c>
      <c r="L3">
        <f>F13-F15</f>
        <v>1.8831064170881753</v>
      </c>
      <c r="N3" t="str">
        <f t="shared" si="32"/>
        <v/>
      </c>
      <c r="O3">
        <f t="shared" si="33"/>
        <v>16.154925564183184</v>
      </c>
      <c r="U3">
        <v>145</v>
      </c>
      <c r="V3">
        <v>2534</v>
      </c>
    </row>
    <row r="4">
      <c r="A4" s="3" t="s">
        <v>466</v>
      </c>
      <c r="B4">
        <v>3</v>
      </c>
      <c r="C4" s="4">
        <v>1.85941807959401e-06</v>
      </c>
      <c r="E4">
        <v>2</v>
      </c>
      <c r="F4">
        <v>15.918663833219412</v>
      </c>
      <c r="G4">
        <v>0.088181129999999996</v>
      </c>
      <c r="H4">
        <v>1850</v>
      </c>
      <c r="I4">
        <v>23</v>
      </c>
      <c r="J4">
        <v>23</v>
      </c>
      <c r="N4" t="str">
        <f t="shared" si="32"/>
        <v/>
      </c>
      <c r="O4">
        <f t="shared" si="33"/>
        <v>15.918663833219412</v>
      </c>
      <c r="P4" t="s">
        <v>306</v>
      </c>
      <c r="Q4" t="s">
        <v>307</v>
      </c>
      <c r="R4" t="s">
        <v>308</v>
      </c>
      <c r="S4" t="s">
        <v>309</v>
      </c>
      <c r="T4" t="s">
        <v>266</v>
      </c>
      <c r="U4">
        <v>145</v>
      </c>
      <c r="V4">
        <v>2534</v>
      </c>
    </row>
    <row r="5">
      <c r="A5" s="3" t="s">
        <v>467</v>
      </c>
      <c r="B5">
        <v>4</v>
      </c>
      <c r="C5" s="4">
        <v>1.85941807959401e-07</v>
      </c>
      <c r="E5">
        <v>2</v>
      </c>
      <c r="F5">
        <v>18.900148102255638</v>
      </c>
      <c r="G5">
        <v>0.060119970000000002</v>
      </c>
      <c r="H5">
        <v>1850</v>
      </c>
      <c r="I5">
        <v>25</v>
      </c>
      <c r="J5">
        <v>27</v>
      </c>
      <c r="L5">
        <f>F28-F26</f>
        <v>2.9841705380724548</v>
      </c>
      <c r="N5" t="str">
        <f t="shared" si="32"/>
        <v/>
      </c>
      <c r="O5">
        <f t="shared" si="33"/>
        <v>18.900148102255638</v>
      </c>
      <c r="P5">
        <f>AVERAGE(G3:G7,G12:G16,G19:G21,G24,G27:G28)</f>
        <v>0.068735644999999984</v>
      </c>
      <c r="Q5">
        <f>MIN(O2:O124)</f>
        <v>14.114175834996583</v>
      </c>
      <c r="R5">
        <f>AVERAGE(O2:O124)</f>
        <v>19.09111819414014</v>
      </c>
      <c r="S5">
        <f>MAX(O2:O124)</f>
        <v>24.638413594668489</v>
      </c>
      <c r="T5">
        <f>COUNT(O2:O124)</f>
        <v>74</v>
      </c>
      <c r="U5">
        <v>145</v>
      </c>
      <c r="V5">
        <v>2534</v>
      </c>
    </row>
    <row r="6">
      <c r="A6" s="3" t="s">
        <v>468</v>
      </c>
      <c r="B6">
        <v>5</v>
      </c>
      <c r="C6" s="4">
        <v>1.8594180795940101e-08</v>
      </c>
      <c r="E6">
        <v>2</v>
      </c>
      <c r="F6">
        <v>20.034134416131238</v>
      </c>
      <c r="G6">
        <v>0.062389779999999999</v>
      </c>
      <c r="H6">
        <v>1850</v>
      </c>
      <c r="I6">
        <v>44</v>
      </c>
      <c r="J6">
        <v>47</v>
      </c>
      <c r="L6">
        <f>F48-F45</f>
        <v>5.828618851948054</v>
      </c>
      <c r="N6" t="str">
        <f t="shared" si="32"/>
        <v/>
      </c>
      <c r="O6">
        <f t="shared" si="33"/>
        <v>20.034134416131238</v>
      </c>
      <c r="U6">
        <v>145</v>
      </c>
      <c r="V6">
        <v>2534</v>
      </c>
    </row>
    <row r="7">
      <c r="A7" s="3" t="s">
        <v>469</v>
      </c>
      <c r="B7">
        <v>6</v>
      </c>
      <c r="C7" s="4">
        <v>1.8594180795940099e-09</v>
      </c>
      <c r="E7">
        <v>2</v>
      </c>
      <c r="F7">
        <v>19.133316685167465</v>
      </c>
      <c r="G7">
        <v>0.074757190000000001</v>
      </c>
      <c r="H7">
        <v>1850</v>
      </c>
      <c r="I7">
        <v>52</v>
      </c>
      <c r="J7">
        <v>54</v>
      </c>
      <c r="L7">
        <f>F54-F55</f>
        <v>-1.7141802690362269</v>
      </c>
      <c r="N7" t="str">
        <f t="shared" si="32"/>
        <v/>
      </c>
      <c r="O7">
        <f t="shared" si="33"/>
        <v>19.133316685167465</v>
      </c>
      <c r="U7">
        <v>145</v>
      </c>
      <c r="V7">
        <v>2534</v>
      </c>
    </row>
    <row r="8">
      <c r="A8" s="3" t="s">
        <v>470</v>
      </c>
      <c r="B8">
        <v>7</v>
      </c>
      <c r="E8">
        <v>1</v>
      </c>
      <c r="F8">
        <v>11.04158995420369</v>
      </c>
      <c r="G8">
        <v>0.074840139999999999</v>
      </c>
      <c r="H8">
        <v>1850</v>
      </c>
      <c r="I8">
        <v>60</v>
      </c>
      <c r="J8">
        <v>63</v>
      </c>
      <c r="L8">
        <f>F64-F63</f>
        <v>5.6658583138755958</v>
      </c>
      <c r="N8">
        <f t="shared" si="32"/>
        <v>11.04158995420369</v>
      </c>
      <c r="O8" t="str">
        <f t="shared" si="33"/>
        <v/>
      </c>
      <c r="U8">
        <v>145</v>
      </c>
      <c r="V8">
        <v>2534</v>
      </c>
    </row>
    <row r="9">
      <c r="A9" s="3" t="s">
        <v>471</v>
      </c>
      <c r="B9">
        <v>8</v>
      </c>
      <c r="E9">
        <v>1</v>
      </c>
      <c r="F9">
        <v>11.55315426807929</v>
      </c>
      <c r="G9">
        <v>0.072958739999999994</v>
      </c>
      <c r="H9">
        <v>1850</v>
      </c>
      <c r="I9">
        <v>64</v>
      </c>
      <c r="J9">
        <v>67</v>
      </c>
      <c r="L9">
        <f>F68-F66</f>
        <v>0.16348758291182541</v>
      </c>
      <c r="N9">
        <f t="shared" si="32"/>
        <v>11.55315426807929</v>
      </c>
      <c r="O9" t="str">
        <f t="shared" si="33"/>
        <v/>
      </c>
      <c r="U9">
        <v>145</v>
      </c>
      <c r="V9">
        <v>2534</v>
      </c>
    </row>
    <row r="10">
      <c r="A10" s="3" t="s">
        <v>472</v>
      </c>
      <c r="B10">
        <v>9</v>
      </c>
      <c r="E10">
        <v>1</v>
      </c>
      <c r="F10">
        <v>11.264848537115517</v>
      </c>
      <c r="G10">
        <v>0.050357279999999997</v>
      </c>
      <c r="H10">
        <v>1850</v>
      </c>
      <c r="I10">
        <v>68</v>
      </c>
      <c r="J10">
        <v>76</v>
      </c>
      <c r="L10">
        <f>F73-F75</f>
        <v>2.5409354170881748</v>
      </c>
      <c r="N10">
        <f t="shared" si="32"/>
        <v>11.264848537115517</v>
      </c>
      <c r="O10" t="str">
        <f t="shared" si="33"/>
        <v/>
      </c>
      <c r="U10">
        <v>145</v>
      </c>
      <c r="V10">
        <v>2534</v>
      </c>
    </row>
    <row r="11">
      <c r="A11" s="3" t="s">
        <v>473</v>
      </c>
      <c r="B11">
        <v>10</v>
      </c>
      <c r="C11" s="4">
        <v>3.5973478385802898e-05</v>
      </c>
      <c r="D11" s="4">
        <f t="shared" ref="D11:D15" si="34">C11/0.00007</f>
        <v>0.51390683408289861</v>
      </c>
      <c r="E11">
        <v>2</v>
      </c>
      <c r="F11">
        <v>16.979031850991113</v>
      </c>
      <c r="G11">
        <v>0.082591769999999995</v>
      </c>
      <c r="H11">
        <v>1850</v>
      </c>
      <c r="I11">
        <v>80</v>
      </c>
      <c r="J11">
        <v>82</v>
      </c>
      <c r="L11">
        <f>F81-F83</f>
        <v>-6.297410582911823</v>
      </c>
      <c r="N11" t="str">
        <f t="shared" si="32"/>
        <v/>
      </c>
      <c r="O11">
        <f t="shared" si="33"/>
        <v>16.979031850991113</v>
      </c>
      <c r="U11">
        <v>145</v>
      </c>
      <c r="V11">
        <v>2534</v>
      </c>
    </row>
    <row r="12">
      <c r="A12" s="3" t="s">
        <v>474</v>
      </c>
      <c r="B12">
        <v>11</v>
      </c>
      <c r="C12" s="4">
        <v>4.41740072733005e-05</v>
      </c>
      <c r="D12" s="4">
        <f t="shared" si="34"/>
        <v>0.63105724676143582</v>
      </c>
      <c r="E12">
        <v>2</v>
      </c>
      <c r="F12">
        <v>17.255388120027341</v>
      </c>
      <c r="G12">
        <v>0.052248940000000001</v>
      </c>
      <c r="H12">
        <v>1850</v>
      </c>
      <c r="I12">
        <v>83</v>
      </c>
      <c r="J12">
        <v>84</v>
      </c>
      <c r="L12">
        <f>F85-F84</f>
        <v>0.35094431387559766</v>
      </c>
      <c r="N12" t="str">
        <f t="shared" si="32"/>
        <v/>
      </c>
      <c r="O12">
        <f t="shared" si="33"/>
        <v>17.255388120027341</v>
      </c>
      <c r="U12">
        <v>145</v>
      </c>
      <c r="V12">
        <v>2534</v>
      </c>
    </row>
    <row r="13">
      <c r="A13" s="3" t="s">
        <v>475</v>
      </c>
      <c r="B13">
        <v>12</v>
      </c>
      <c r="C13" s="4">
        <v>2.88419682729282e-05</v>
      </c>
      <c r="D13" s="4">
        <f t="shared" si="34"/>
        <v>0.4120281181846886</v>
      </c>
      <c r="E13">
        <v>2</v>
      </c>
      <c r="F13">
        <v>18.000814433902939</v>
      </c>
      <c r="G13">
        <v>0.064385070000000003</v>
      </c>
      <c r="H13">
        <v>1850</v>
      </c>
      <c r="I13">
        <v>88</v>
      </c>
      <c r="J13">
        <v>90</v>
      </c>
      <c r="L13">
        <f>F91-F89</f>
        <v>2.3811205829118265</v>
      </c>
      <c r="N13" t="str">
        <f t="shared" si="32"/>
        <v/>
      </c>
      <c r="O13">
        <f t="shared" si="33"/>
        <v>18.000814433902939</v>
      </c>
      <c r="U13">
        <v>145</v>
      </c>
      <c r="V13">
        <v>2534</v>
      </c>
    </row>
    <row r="14">
      <c r="A14" s="3" t="s">
        <v>476</v>
      </c>
      <c r="B14">
        <v>13</v>
      </c>
      <c r="C14" s="4">
        <v>5.6383988801740098e-05</v>
      </c>
      <c r="D14" s="4">
        <f t="shared" si="34"/>
        <v>0.80548555431057289</v>
      </c>
      <c r="E14">
        <v>2</v>
      </c>
      <c r="F14">
        <v>17.206427702939166</v>
      </c>
      <c r="G14">
        <v>0.048325420000000001</v>
      </c>
      <c r="H14">
        <v>1850</v>
      </c>
      <c r="I14">
        <v>96</v>
      </c>
      <c r="J14">
        <v>102</v>
      </c>
      <c r="L14">
        <f>F99-F98</f>
        <v>0.13607431387559998</v>
      </c>
      <c r="N14" t="str">
        <f t="shared" si="32"/>
        <v/>
      </c>
      <c r="O14">
        <f t="shared" si="33"/>
        <v>17.206427702939166</v>
      </c>
      <c r="U14">
        <v>145</v>
      </c>
      <c r="V14">
        <v>2534</v>
      </c>
    </row>
    <row r="15">
      <c r="A15" s="3" t="s">
        <v>477</v>
      </c>
      <c r="B15">
        <v>14</v>
      </c>
      <c r="C15" s="4">
        <v>6.3989549200032497e-05</v>
      </c>
      <c r="D15" s="4">
        <f t="shared" si="34"/>
        <v>0.9141364171433215</v>
      </c>
      <c r="E15">
        <v>2</v>
      </c>
      <c r="F15">
        <v>16.117708016814763</v>
      </c>
      <c r="G15">
        <v>0.076785809999999996</v>
      </c>
      <c r="H15">
        <v>1850</v>
      </c>
      <c r="I15">
        <v>105</v>
      </c>
      <c r="J15">
        <v>113</v>
      </c>
      <c r="L15">
        <f>F106-F112</f>
        <v>-2.6399897487354771</v>
      </c>
      <c r="N15" t="str">
        <f t="shared" si="32"/>
        <v/>
      </c>
      <c r="O15">
        <f t="shared" si="33"/>
        <v>16.117708016814763</v>
      </c>
      <c r="U15">
        <v>145</v>
      </c>
      <c r="V15">
        <v>2534</v>
      </c>
    </row>
    <row r="16">
      <c r="A16" s="3" t="s">
        <v>478</v>
      </c>
      <c r="B16">
        <v>15</v>
      </c>
      <c r="C16" s="4"/>
      <c r="D16" s="4"/>
      <c r="E16">
        <v>1</v>
      </c>
      <c r="F16">
        <v>14.74030728585099</v>
      </c>
      <c r="G16">
        <v>0.079051880000000005</v>
      </c>
      <c r="H16">
        <v>1850</v>
      </c>
      <c r="I16">
        <v>117</v>
      </c>
      <c r="J16">
        <v>119</v>
      </c>
      <c r="L16">
        <f>F120-F119</f>
        <v>2.9947732690362265</v>
      </c>
      <c r="N16">
        <f t="shared" si="32"/>
        <v>14.74030728585099</v>
      </c>
      <c r="O16" t="str">
        <f t="shared" si="33"/>
        <v/>
      </c>
      <c r="U16">
        <v>145</v>
      </c>
      <c r="V16">
        <v>2534</v>
      </c>
    </row>
    <row r="17">
      <c r="A17" s="3" t="s">
        <v>479</v>
      </c>
      <c r="B17">
        <v>16</v>
      </c>
      <c r="E17">
        <v>1</v>
      </c>
      <c r="F17">
        <v>11.101245554887218</v>
      </c>
      <c r="G17">
        <v>0.064891770000000001</v>
      </c>
      <c r="H17">
        <v>1850</v>
      </c>
      <c r="N17">
        <f t="shared" si="32"/>
        <v>11.101245554887218</v>
      </c>
      <c r="O17" t="str">
        <f t="shared" si="33"/>
        <v/>
      </c>
      <c r="U17">
        <v>145</v>
      </c>
      <c r="V17">
        <v>2534</v>
      </c>
    </row>
    <row r="18">
      <c r="A18" s="3" t="s">
        <v>480</v>
      </c>
      <c r="B18">
        <v>17</v>
      </c>
      <c r="E18">
        <v>1</v>
      </c>
      <c r="F18">
        <v>10.710280868762815</v>
      </c>
      <c r="G18">
        <v>0.063288839999999999</v>
      </c>
      <c r="H18">
        <v>1850</v>
      </c>
      <c r="N18">
        <f t="shared" si="32"/>
        <v>10.710280868762815</v>
      </c>
      <c r="O18" t="str">
        <f t="shared" si="33"/>
        <v/>
      </c>
      <c r="U18">
        <v>145</v>
      </c>
      <c r="V18">
        <v>2534</v>
      </c>
    </row>
    <row r="19">
      <c r="A19" s="3" t="s">
        <v>481</v>
      </c>
      <c r="B19">
        <v>18</v>
      </c>
      <c r="E19">
        <v>2</v>
      </c>
      <c r="F19">
        <v>16.202598137799043</v>
      </c>
      <c r="G19">
        <v>0.051580519999999998</v>
      </c>
      <c r="H19">
        <v>1850</v>
      </c>
      <c r="N19" t="str">
        <f t="shared" si="32"/>
        <v/>
      </c>
      <c r="O19">
        <f t="shared" si="33"/>
        <v>16.202598137799043</v>
      </c>
      <c r="U19">
        <v>145</v>
      </c>
      <c r="V19">
        <v>2534</v>
      </c>
    </row>
    <row r="20">
      <c r="A20" s="3" t="s">
        <v>482</v>
      </c>
      <c r="B20">
        <v>19</v>
      </c>
      <c r="E20">
        <v>2</v>
      </c>
      <c r="F20">
        <v>15.324767451674642</v>
      </c>
      <c r="G20">
        <v>0.061857370000000002</v>
      </c>
      <c r="H20">
        <v>1850</v>
      </c>
      <c r="N20" t="str">
        <f t="shared" si="32"/>
        <v/>
      </c>
      <c r="O20">
        <f t="shared" si="33"/>
        <v>15.324767451674642</v>
      </c>
      <c r="U20">
        <v>145</v>
      </c>
      <c r="V20">
        <v>2534</v>
      </c>
    </row>
    <row r="21">
      <c r="A21" s="3" t="s">
        <v>483</v>
      </c>
      <c r="B21">
        <v>20</v>
      </c>
      <c r="E21">
        <v>2</v>
      </c>
      <c r="F21">
        <v>15.303161720710868</v>
      </c>
      <c r="G21">
        <v>0.061442589999999998</v>
      </c>
      <c r="H21">
        <v>1850</v>
      </c>
      <c r="N21" t="str">
        <f t="shared" si="32"/>
        <v/>
      </c>
      <c r="O21">
        <f t="shared" si="33"/>
        <v>15.303161720710868</v>
      </c>
      <c r="U21">
        <v>145</v>
      </c>
      <c r="V21">
        <v>2534</v>
      </c>
    </row>
    <row r="22">
      <c r="A22" s="3" t="s">
        <v>484</v>
      </c>
      <c r="B22">
        <v>21</v>
      </c>
      <c r="E22">
        <v>1</v>
      </c>
      <c r="F22">
        <v>10.445493034586466</v>
      </c>
      <c r="G22">
        <v>0.064548839999999996</v>
      </c>
      <c r="H22">
        <v>1850</v>
      </c>
      <c r="N22">
        <f t="shared" si="32"/>
        <v>10.445493034586466</v>
      </c>
      <c r="O22" t="str">
        <f t="shared" si="33"/>
        <v/>
      </c>
      <c r="U22">
        <v>145</v>
      </c>
      <c r="V22">
        <v>2534</v>
      </c>
    </row>
    <row r="23">
      <c r="A23" s="3" t="s">
        <v>485</v>
      </c>
      <c r="B23">
        <v>22</v>
      </c>
      <c r="E23">
        <v>1</v>
      </c>
      <c r="F23">
        <v>10.315859303622695</v>
      </c>
      <c r="G23">
        <v>0.044998860000000002</v>
      </c>
      <c r="H23">
        <v>1850</v>
      </c>
      <c r="N23">
        <f t="shared" si="32"/>
        <v>10.315859303622695</v>
      </c>
      <c r="O23" t="str">
        <f t="shared" si="33"/>
        <v/>
      </c>
      <c r="U23">
        <v>145</v>
      </c>
      <c r="V23">
        <v>2534</v>
      </c>
    </row>
    <row r="24">
      <c r="A24" s="3" t="s">
        <v>486</v>
      </c>
      <c r="B24">
        <v>23</v>
      </c>
      <c r="C24" s="4">
        <v>5.6665678454499999e-05</v>
      </c>
      <c r="D24" s="4">
        <f>C24/0.0002355874</f>
        <v>0.240529325653664</v>
      </c>
      <c r="E24">
        <v>2</v>
      </c>
      <c r="F24">
        <v>18.852761617498292</v>
      </c>
      <c r="G24">
        <v>0.066725499999999993</v>
      </c>
      <c r="H24">
        <v>1850</v>
      </c>
      <c r="N24" t="str">
        <f t="shared" si="32"/>
        <v/>
      </c>
      <c r="O24">
        <f t="shared" si="33"/>
        <v>18.852761617498292</v>
      </c>
      <c r="U24">
        <v>145</v>
      </c>
      <c r="V24">
        <v>2534</v>
      </c>
    </row>
    <row r="25">
      <c r="A25" s="3" t="s">
        <v>487</v>
      </c>
      <c r="B25">
        <v>24</v>
      </c>
      <c r="C25" s="4"/>
      <c r="D25" s="4"/>
      <c r="E25">
        <v>1</v>
      </c>
      <c r="F25">
        <v>14.987256886534517</v>
      </c>
      <c r="G25">
        <v>0.068361249999999998</v>
      </c>
      <c r="H25">
        <v>1850</v>
      </c>
      <c r="N25">
        <f t="shared" si="32"/>
        <v>14.987256886534517</v>
      </c>
      <c r="O25" t="str">
        <f t="shared" si="33"/>
        <v/>
      </c>
      <c r="U25">
        <v>145</v>
      </c>
      <c r="V25">
        <v>2534</v>
      </c>
    </row>
    <row r="26">
      <c r="A26" s="3" t="s">
        <v>488</v>
      </c>
      <c r="B26">
        <v>25</v>
      </c>
      <c r="C26" s="4">
        <v>9.6567845450000006e-05</v>
      </c>
      <c r="D26" s="4">
        <f t="shared" ref="D26:D28" si="35">C26/0.0002355874</f>
        <v>0.40990242029072865</v>
      </c>
      <c r="E26">
        <v>2</v>
      </c>
      <c r="F26">
        <v>17.807927200410116</v>
      </c>
      <c r="G26">
        <v>0.072579879999999999</v>
      </c>
      <c r="H26">
        <v>1850</v>
      </c>
      <c r="N26" t="str">
        <f t="shared" si="32"/>
        <v/>
      </c>
      <c r="O26">
        <f t="shared" si="33"/>
        <v>17.807927200410116</v>
      </c>
      <c r="U26">
        <v>145</v>
      </c>
      <c r="V26">
        <v>2534</v>
      </c>
    </row>
    <row r="27">
      <c r="A27" s="3" t="s">
        <v>489</v>
      </c>
      <c r="B27">
        <v>26</v>
      </c>
      <c r="C27" s="4">
        <v>6.5678454500000004e-05</v>
      </c>
      <c r="D27" s="4">
        <f t="shared" si="35"/>
        <v>0.27878593889146874</v>
      </c>
      <c r="E27">
        <v>2</v>
      </c>
      <c r="F27">
        <v>18.127654469446345</v>
      </c>
      <c r="G27">
        <v>0.076414930000000006</v>
      </c>
      <c r="H27">
        <v>1850</v>
      </c>
      <c r="N27" t="str">
        <f t="shared" si="32"/>
        <v/>
      </c>
      <c r="O27">
        <f t="shared" si="33"/>
        <v>18.127654469446345</v>
      </c>
      <c r="U27">
        <v>145</v>
      </c>
      <c r="V27">
        <v>2534</v>
      </c>
    </row>
    <row r="28">
      <c r="A28" s="3" t="s">
        <v>490</v>
      </c>
      <c r="B28">
        <v>27</v>
      </c>
      <c r="C28" s="4">
        <v>2.658874451e-05</v>
      </c>
      <c r="D28" s="4">
        <f t="shared" si="35"/>
        <v>0.112861487965825</v>
      </c>
      <c r="E28">
        <v>2</v>
      </c>
      <c r="F28">
        <v>20.792097738482571</v>
      </c>
      <c r="G28">
        <v>0.095818230000000004</v>
      </c>
      <c r="H28">
        <v>1850</v>
      </c>
      <c r="N28" t="str">
        <f t="shared" si="32"/>
        <v/>
      </c>
      <c r="O28">
        <f t="shared" si="33"/>
        <v>20.792097738482571</v>
      </c>
      <c r="U28">
        <v>145</v>
      </c>
      <c r="V28">
        <v>2534</v>
      </c>
    </row>
    <row r="29">
      <c r="A29" s="3" t="s">
        <v>491</v>
      </c>
      <c r="B29">
        <v>28</v>
      </c>
      <c r="E29">
        <v>1</v>
      </c>
      <c r="F29">
        <v>10.464317052358169</v>
      </c>
      <c r="G29">
        <v>0.072748019999999997</v>
      </c>
      <c r="H29">
        <v>1850</v>
      </c>
      <c r="N29">
        <f t="shared" si="32"/>
        <v>10.464317052358169</v>
      </c>
      <c r="O29" t="str">
        <f t="shared" si="33"/>
        <v/>
      </c>
      <c r="U29">
        <v>145</v>
      </c>
      <c r="V29">
        <v>2534</v>
      </c>
    </row>
    <row r="30">
      <c r="A30" s="3" t="s">
        <v>492</v>
      </c>
      <c r="B30">
        <v>29</v>
      </c>
      <c r="E30">
        <v>1</v>
      </c>
      <c r="F30">
        <v>11.552116366233765</v>
      </c>
      <c r="G30">
        <v>0.068355289999999999</v>
      </c>
      <c r="H30">
        <v>1850</v>
      </c>
      <c r="N30">
        <f t="shared" si="32"/>
        <v>11.552116366233765</v>
      </c>
      <c r="O30" t="str">
        <f t="shared" si="33"/>
        <v/>
      </c>
      <c r="U30">
        <v>145</v>
      </c>
      <c r="V30">
        <v>2534</v>
      </c>
    </row>
    <row r="31">
      <c r="A31" s="3" t="s">
        <v>493</v>
      </c>
      <c r="B31">
        <v>30</v>
      </c>
      <c r="E31">
        <v>1</v>
      </c>
      <c r="F31">
        <v>11.415498635269994</v>
      </c>
      <c r="G31">
        <v>0.059320100000000001</v>
      </c>
      <c r="H31">
        <v>1850</v>
      </c>
      <c r="N31">
        <f t="shared" si="32"/>
        <v>11.415498635269994</v>
      </c>
      <c r="O31" t="str">
        <f t="shared" si="33"/>
        <v/>
      </c>
      <c r="U31">
        <v>145</v>
      </c>
      <c r="V31">
        <v>2534</v>
      </c>
    </row>
    <row r="32">
      <c r="A32" s="3" t="s">
        <v>494</v>
      </c>
      <c r="B32">
        <v>31</v>
      </c>
      <c r="E32">
        <v>1</v>
      </c>
      <c r="F32">
        <v>11.534645949145592</v>
      </c>
      <c r="G32">
        <v>0.066917500000000005</v>
      </c>
      <c r="H32">
        <v>1850</v>
      </c>
      <c r="N32">
        <f t="shared" si="32"/>
        <v>11.534645949145592</v>
      </c>
      <c r="O32" t="str">
        <f t="shared" si="33"/>
        <v/>
      </c>
      <c r="U32">
        <v>145</v>
      </c>
      <c r="V32">
        <v>2534</v>
      </c>
    </row>
    <row r="33">
      <c r="A33" s="3" t="s">
        <v>495</v>
      </c>
      <c r="B33">
        <v>32</v>
      </c>
      <c r="E33">
        <v>1</v>
      </c>
      <c r="F33">
        <v>7.9782782181818179</v>
      </c>
      <c r="G33">
        <v>0.053622110000000001</v>
      </c>
      <c r="H33">
        <v>1850</v>
      </c>
      <c r="N33">
        <f t="shared" si="32"/>
        <v>7.9782782181818179</v>
      </c>
      <c r="O33" t="str">
        <f t="shared" si="33"/>
        <v/>
      </c>
      <c r="U33">
        <v>145</v>
      </c>
      <c r="V33">
        <v>2534</v>
      </c>
    </row>
    <row r="34">
      <c r="A34" s="3" t="s">
        <v>496</v>
      </c>
      <c r="B34">
        <v>33</v>
      </c>
      <c r="E34">
        <v>1</v>
      </c>
      <c r="F34">
        <v>6.3131565320574161</v>
      </c>
      <c r="G34">
        <v>0.077158409999999997</v>
      </c>
      <c r="H34">
        <v>1850</v>
      </c>
      <c r="N34">
        <f t="shared" si="32"/>
        <v>6.3131565320574161</v>
      </c>
      <c r="O34" t="str">
        <f t="shared" si="33"/>
        <v/>
      </c>
      <c r="U34">
        <v>145</v>
      </c>
      <c r="V34">
        <v>2534</v>
      </c>
    </row>
    <row r="35">
      <c r="A35" s="3" t="s">
        <v>497</v>
      </c>
      <c r="B35">
        <v>34</v>
      </c>
      <c r="E35">
        <v>1</v>
      </c>
      <c r="F35">
        <v>11.528276801093643</v>
      </c>
      <c r="G35">
        <v>0.054981629999999997</v>
      </c>
      <c r="H35">
        <v>1850</v>
      </c>
      <c r="N35">
        <f t="shared" si="32"/>
        <v>11.528276801093643</v>
      </c>
      <c r="O35" t="str">
        <f t="shared" si="33"/>
        <v/>
      </c>
      <c r="U35">
        <v>145</v>
      </c>
      <c r="V35">
        <v>2534</v>
      </c>
    </row>
    <row r="36">
      <c r="A36" s="3" t="s">
        <v>498</v>
      </c>
      <c r="B36">
        <v>35</v>
      </c>
      <c r="E36">
        <v>1</v>
      </c>
      <c r="F36">
        <v>4.2806681149692416</v>
      </c>
      <c r="G36">
        <v>0.044808090000000002</v>
      </c>
      <c r="H36">
        <v>1850</v>
      </c>
      <c r="N36">
        <f t="shared" si="32"/>
        <v>4.2806681149692416</v>
      </c>
      <c r="O36" t="str">
        <f t="shared" si="33"/>
        <v/>
      </c>
      <c r="U36">
        <v>145</v>
      </c>
      <c r="V36">
        <v>2534</v>
      </c>
    </row>
    <row r="37">
      <c r="A37" s="3" t="s">
        <v>499</v>
      </c>
      <c r="B37">
        <v>36</v>
      </c>
      <c r="F37">
        <v>-0.73302157115516042</v>
      </c>
      <c r="G37">
        <v>0.066755320000000007</v>
      </c>
      <c r="H37">
        <v>1850</v>
      </c>
      <c r="N37" t="str">
        <f t="shared" si="32"/>
        <v/>
      </c>
      <c r="O37" t="str">
        <f t="shared" si="33"/>
        <v/>
      </c>
      <c r="U37">
        <v>145</v>
      </c>
      <c r="V37">
        <v>2534</v>
      </c>
    </row>
    <row r="38">
      <c r="A38" s="3" t="s">
        <v>500</v>
      </c>
      <c r="B38">
        <v>37</v>
      </c>
      <c r="F38">
        <v>-1.9400763021189329</v>
      </c>
      <c r="G38">
        <v>0.105133</v>
      </c>
      <c r="H38">
        <v>1850</v>
      </c>
      <c r="N38" t="str">
        <f t="shared" si="32"/>
        <v/>
      </c>
      <c r="O38" t="str">
        <f t="shared" si="33"/>
        <v/>
      </c>
      <c r="U38">
        <v>145</v>
      </c>
      <c r="V38">
        <v>2534</v>
      </c>
    </row>
    <row r="39">
      <c r="A39" s="3" t="s">
        <v>501</v>
      </c>
      <c r="B39">
        <v>38</v>
      </c>
      <c r="E39">
        <v>1</v>
      </c>
      <c r="F39">
        <v>3.7248960117566647</v>
      </c>
      <c r="G39">
        <v>0.037594229999999999</v>
      </c>
      <c r="H39">
        <v>1850</v>
      </c>
      <c r="N39">
        <f t="shared" si="32"/>
        <v>3.7248960117566647</v>
      </c>
      <c r="O39" t="str">
        <f t="shared" si="33"/>
        <v/>
      </c>
      <c r="U39">
        <v>145</v>
      </c>
      <c r="V39">
        <v>2534</v>
      </c>
    </row>
    <row r="40">
      <c r="A40" s="3" t="s">
        <v>502</v>
      </c>
      <c r="B40">
        <v>39</v>
      </c>
      <c r="E40">
        <v>2</v>
      </c>
      <c r="F40">
        <v>17.518675280792891</v>
      </c>
      <c r="G40">
        <v>0.077711100000000005</v>
      </c>
      <c r="H40">
        <v>1850</v>
      </c>
      <c r="N40" t="str">
        <f t="shared" si="32"/>
        <v/>
      </c>
      <c r="O40">
        <f t="shared" si="33"/>
        <v>17.518675280792891</v>
      </c>
      <c r="U40">
        <v>145</v>
      </c>
      <c r="V40">
        <v>2534</v>
      </c>
    </row>
    <row r="41">
      <c r="A41" s="3" t="s">
        <v>503</v>
      </c>
      <c r="B41">
        <v>40</v>
      </c>
      <c r="E41">
        <v>2</v>
      </c>
      <c r="F41">
        <v>24.638413594668489</v>
      </c>
      <c r="G41">
        <v>0.075493009999999999</v>
      </c>
      <c r="H41">
        <v>1850</v>
      </c>
      <c r="N41" t="str">
        <f t="shared" si="32"/>
        <v/>
      </c>
      <c r="O41">
        <f t="shared" si="33"/>
        <v>24.638413594668489</v>
      </c>
      <c r="U41">
        <v>145</v>
      </c>
      <c r="V41">
        <v>2534</v>
      </c>
    </row>
    <row r="42">
      <c r="A42" s="3" t="s">
        <v>504</v>
      </c>
      <c r="B42">
        <v>41</v>
      </c>
      <c r="E42">
        <v>1</v>
      </c>
      <c r="F42">
        <v>9.7891478637047165</v>
      </c>
      <c r="G42">
        <v>0.075644760000000005</v>
      </c>
      <c r="H42">
        <v>1850</v>
      </c>
      <c r="N42">
        <f t="shared" si="32"/>
        <v>9.7891478637047165</v>
      </c>
      <c r="O42" t="str">
        <f t="shared" si="33"/>
        <v/>
      </c>
      <c r="U42">
        <v>145</v>
      </c>
      <c r="V42">
        <v>2534</v>
      </c>
    </row>
    <row r="43">
      <c r="A43" s="3" t="s">
        <v>505</v>
      </c>
      <c r="B43">
        <v>42</v>
      </c>
      <c r="E43">
        <v>1</v>
      </c>
      <c r="F43">
        <v>9.0454791775803152</v>
      </c>
      <c r="G43">
        <v>0.05782168</v>
      </c>
      <c r="H43">
        <v>1850</v>
      </c>
      <c r="N43">
        <f t="shared" si="32"/>
        <v>9.0454791775803152</v>
      </c>
      <c r="O43" t="str">
        <f t="shared" si="33"/>
        <v/>
      </c>
      <c r="U43">
        <v>145</v>
      </c>
      <c r="V43">
        <v>2534</v>
      </c>
    </row>
    <row r="44">
      <c r="A44" s="3" t="s">
        <v>506</v>
      </c>
      <c r="B44">
        <v>43</v>
      </c>
      <c r="E44">
        <v>1</v>
      </c>
      <c r="F44">
        <v>9.3964064914559131</v>
      </c>
      <c r="G44">
        <v>0.058228599999999998</v>
      </c>
      <c r="H44">
        <v>1850</v>
      </c>
      <c r="N44">
        <f t="shared" si="32"/>
        <v>9.3964064914559131</v>
      </c>
      <c r="O44" t="str">
        <f t="shared" si="33"/>
        <v/>
      </c>
      <c r="U44">
        <v>145</v>
      </c>
      <c r="V44">
        <v>2534</v>
      </c>
    </row>
    <row r="45">
      <c r="A45" s="3" t="s">
        <v>507</v>
      </c>
      <c r="B45">
        <v>44</v>
      </c>
      <c r="C45" s="4">
        <v>5.6554700000000003e-05</v>
      </c>
      <c r="D45" s="4">
        <f t="shared" ref="D45:D48" si="36">C45/0.000071</f>
        <v>0.7965450704225352</v>
      </c>
      <c r="E45">
        <v>2</v>
      </c>
      <c r="F45">
        <v>16.369412760492139</v>
      </c>
      <c r="G45">
        <v>0.055223479999999998</v>
      </c>
      <c r="H45">
        <v>1850</v>
      </c>
      <c r="N45" t="str">
        <f t="shared" si="32"/>
        <v/>
      </c>
      <c r="O45">
        <f t="shared" si="33"/>
        <v>16.369412760492139</v>
      </c>
      <c r="U45">
        <v>145</v>
      </c>
      <c r="V45">
        <v>2534</v>
      </c>
    </row>
    <row r="46">
      <c r="A46" s="3" t="s">
        <v>508</v>
      </c>
      <c r="B46">
        <v>45</v>
      </c>
      <c r="C46" s="4">
        <v>4.5854771000000001e-05</v>
      </c>
      <c r="D46" s="4">
        <f t="shared" si="36"/>
        <v>0.64584184507042253</v>
      </c>
      <c r="E46">
        <v>2</v>
      </c>
      <c r="F46">
        <v>17.249531074367738</v>
      </c>
      <c r="G46">
        <v>0.054063180000000002</v>
      </c>
      <c r="H46">
        <v>1850</v>
      </c>
      <c r="N46" t="str">
        <f t="shared" si="32"/>
        <v/>
      </c>
      <c r="O46">
        <f t="shared" si="33"/>
        <v>17.249531074367738</v>
      </c>
      <c r="U46">
        <v>145</v>
      </c>
      <c r="V46">
        <v>2534</v>
      </c>
    </row>
    <row r="47">
      <c r="A47" s="3" t="s">
        <v>509</v>
      </c>
      <c r="B47">
        <v>46</v>
      </c>
      <c r="C47">
        <v>2.5455447875999999e-05</v>
      </c>
      <c r="D47" s="4">
        <f t="shared" si="36"/>
        <v>0.3585274348732394</v>
      </c>
      <c r="E47">
        <v>2</v>
      </c>
      <c r="F47">
        <v>22.342028343403964</v>
      </c>
      <c r="G47">
        <v>0.055570950000000001</v>
      </c>
      <c r="H47">
        <v>1850</v>
      </c>
      <c r="N47" t="str">
        <f t="shared" si="32"/>
        <v/>
      </c>
      <c r="O47">
        <f t="shared" si="33"/>
        <v>22.342028343403964</v>
      </c>
      <c r="U47">
        <v>145</v>
      </c>
      <c r="V47">
        <v>2534</v>
      </c>
    </row>
    <row r="48">
      <c r="A48" s="3" t="s">
        <v>510</v>
      </c>
      <c r="B48">
        <v>47</v>
      </c>
      <c r="C48" s="4">
        <v>1.7111487400000001e-05</v>
      </c>
      <c r="D48" s="4">
        <f t="shared" si="36"/>
        <v>0.2410068647887324</v>
      </c>
      <c r="E48">
        <v>2</v>
      </c>
      <c r="F48">
        <v>22.198031612440193</v>
      </c>
      <c r="G48">
        <v>0.059857220000000003</v>
      </c>
      <c r="H48">
        <v>1850</v>
      </c>
      <c r="N48" t="str">
        <f t="shared" si="32"/>
        <v/>
      </c>
      <c r="O48">
        <f t="shared" si="33"/>
        <v>22.198031612440193</v>
      </c>
      <c r="U48">
        <v>145</v>
      </c>
      <c r="V48">
        <v>2534</v>
      </c>
    </row>
    <row r="49">
      <c r="A49" s="3" t="s">
        <v>511</v>
      </c>
      <c r="B49">
        <v>48</v>
      </c>
      <c r="E49">
        <v>1</v>
      </c>
      <c r="F49">
        <v>13.677381926315789</v>
      </c>
      <c r="G49">
        <v>0.067774890000000004</v>
      </c>
      <c r="H49">
        <v>1850</v>
      </c>
      <c r="N49">
        <f t="shared" si="32"/>
        <v>13.677381926315789</v>
      </c>
      <c r="O49" t="str">
        <f t="shared" si="33"/>
        <v/>
      </c>
      <c r="U49">
        <v>145</v>
      </c>
      <c r="V49">
        <v>2534</v>
      </c>
    </row>
    <row r="50">
      <c r="A50" s="3" t="s">
        <v>512</v>
      </c>
      <c r="B50">
        <v>49</v>
      </c>
      <c r="E50">
        <v>1</v>
      </c>
      <c r="F50">
        <v>11.326453195352016</v>
      </c>
      <c r="G50">
        <v>0.062196670000000003</v>
      </c>
      <c r="H50">
        <v>1850</v>
      </c>
      <c r="N50">
        <f t="shared" si="32"/>
        <v>11.326453195352016</v>
      </c>
      <c r="O50" t="str">
        <f t="shared" si="33"/>
        <v/>
      </c>
      <c r="U50">
        <v>145</v>
      </c>
      <c r="V50">
        <v>2534</v>
      </c>
    </row>
    <row r="51">
      <c r="A51" s="3" t="s">
        <v>513</v>
      </c>
      <c r="B51">
        <v>50</v>
      </c>
      <c r="E51">
        <v>1</v>
      </c>
      <c r="F51">
        <v>11.171751509227615</v>
      </c>
      <c r="G51">
        <v>0.05542826</v>
      </c>
      <c r="H51">
        <v>1850</v>
      </c>
      <c r="N51">
        <f t="shared" si="32"/>
        <v>11.171751509227615</v>
      </c>
      <c r="O51" t="str">
        <f t="shared" si="33"/>
        <v/>
      </c>
      <c r="U51">
        <v>145</v>
      </c>
      <c r="V51">
        <v>2534</v>
      </c>
    </row>
    <row r="52">
      <c r="A52" s="3" t="s">
        <v>514</v>
      </c>
      <c r="B52">
        <v>51</v>
      </c>
      <c r="E52">
        <v>1</v>
      </c>
      <c r="F52">
        <v>11.966298778263841</v>
      </c>
      <c r="G52">
        <v>0.058022270000000001</v>
      </c>
      <c r="H52">
        <v>1850</v>
      </c>
      <c r="N52">
        <f t="shared" si="32"/>
        <v>11.966298778263841</v>
      </c>
      <c r="O52" t="str">
        <f t="shared" si="33"/>
        <v/>
      </c>
      <c r="U52">
        <v>145</v>
      </c>
      <c r="V52">
        <v>2534</v>
      </c>
    </row>
    <row r="53">
      <c r="A53" s="3" t="s">
        <v>515</v>
      </c>
      <c r="B53">
        <v>52</v>
      </c>
      <c r="C53" s="4">
        <v>4.7784000000000002e-05</v>
      </c>
      <c r="D53" s="4">
        <f t="shared" ref="D53:D55" si="37">C53/0.000133655</f>
        <v>0.35751748905764846</v>
      </c>
      <c r="E53">
        <v>2</v>
      </c>
      <c r="F53">
        <v>21.106800047300069</v>
      </c>
      <c r="G53">
        <v>0.065871929999999995</v>
      </c>
      <c r="H53">
        <v>1850</v>
      </c>
      <c r="N53" t="str">
        <f t="shared" si="32"/>
        <v/>
      </c>
      <c r="O53">
        <f t="shared" si="33"/>
        <v>21.106800047300069</v>
      </c>
      <c r="U53">
        <v>145</v>
      </c>
      <c r="V53">
        <v>2534</v>
      </c>
    </row>
    <row r="54">
      <c r="A54" s="3" t="s">
        <v>516</v>
      </c>
      <c r="B54">
        <v>53</v>
      </c>
      <c r="C54" s="4">
        <v>3.4477784e-05</v>
      </c>
      <c r="D54" s="4">
        <f t="shared" si="37"/>
        <v>0.25796104896936145</v>
      </c>
      <c r="E54">
        <v>2</v>
      </c>
      <c r="F54">
        <v>20.489360361175667</v>
      </c>
      <c r="G54">
        <v>0.086918029999999993</v>
      </c>
      <c r="H54">
        <v>1850</v>
      </c>
      <c r="N54" t="str">
        <f t="shared" si="32"/>
        <v/>
      </c>
      <c r="O54">
        <f t="shared" si="33"/>
        <v>20.489360361175667</v>
      </c>
      <c r="U54">
        <v>145</v>
      </c>
      <c r="V54">
        <v>2534</v>
      </c>
    </row>
    <row r="55">
      <c r="A55" s="3" t="s">
        <v>517</v>
      </c>
      <c r="B55">
        <v>54</v>
      </c>
      <c r="C55" s="4">
        <v>8.4455217783999998e-05</v>
      </c>
      <c r="D55" s="4">
        <f t="shared" si="37"/>
        <v>0.63188969948000451</v>
      </c>
      <c r="E55">
        <v>2</v>
      </c>
      <c r="F55">
        <v>22.203540630211894</v>
      </c>
      <c r="G55">
        <v>0.058431280000000002</v>
      </c>
      <c r="H55">
        <v>1850</v>
      </c>
      <c r="N55" t="str">
        <f t="shared" si="32"/>
        <v/>
      </c>
      <c r="O55">
        <f t="shared" si="33"/>
        <v>22.203540630211894</v>
      </c>
      <c r="U55">
        <v>145</v>
      </c>
      <c r="V55">
        <v>2534</v>
      </c>
    </row>
    <row r="56">
      <c r="A56" s="3" t="s">
        <v>518</v>
      </c>
      <c r="B56">
        <v>55</v>
      </c>
      <c r="E56">
        <v>1</v>
      </c>
      <c r="F56">
        <v>12.537793944087491</v>
      </c>
      <c r="G56">
        <v>0.077827359999999998</v>
      </c>
      <c r="H56">
        <v>1850</v>
      </c>
      <c r="N56">
        <f t="shared" si="32"/>
        <v>12.537793944087491</v>
      </c>
      <c r="O56" t="str">
        <f t="shared" si="33"/>
        <v/>
      </c>
      <c r="U56">
        <v>145</v>
      </c>
      <c r="V56">
        <v>2534</v>
      </c>
    </row>
    <row r="57">
      <c r="A57" s="3" t="s">
        <v>519</v>
      </c>
      <c r="B57">
        <v>56</v>
      </c>
      <c r="C57" s="4"/>
      <c r="D57" s="4"/>
      <c r="E57">
        <v>2</v>
      </c>
      <c r="F57">
        <v>19.459147213123718</v>
      </c>
      <c r="G57">
        <v>0.07029473</v>
      </c>
      <c r="H57">
        <v>1850</v>
      </c>
      <c r="N57" t="str">
        <f t="shared" si="32"/>
        <v/>
      </c>
      <c r="O57">
        <f t="shared" si="33"/>
        <v>19.459147213123718</v>
      </c>
      <c r="U57">
        <v>145</v>
      </c>
      <c r="V57">
        <v>2534</v>
      </c>
    </row>
    <row r="58">
      <c r="A58" s="3" t="s">
        <v>520</v>
      </c>
      <c r="B58">
        <v>57</v>
      </c>
      <c r="C58" s="4"/>
      <c r="D58" s="4"/>
      <c r="E58">
        <v>2</v>
      </c>
      <c r="F58">
        <v>17.030954482159945</v>
      </c>
      <c r="G58">
        <v>0.055213949999999998</v>
      </c>
      <c r="H58">
        <v>1850</v>
      </c>
      <c r="N58" t="str">
        <f t="shared" si="32"/>
        <v/>
      </c>
      <c r="O58">
        <f t="shared" si="33"/>
        <v>17.030954482159945</v>
      </c>
      <c r="U58">
        <v>145</v>
      </c>
      <c r="V58">
        <v>2534</v>
      </c>
    </row>
    <row r="59">
      <c r="A59" s="3" t="s">
        <v>521</v>
      </c>
      <c r="B59">
        <v>58</v>
      </c>
      <c r="C59" s="4"/>
      <c r="D59" s="4"/>
      <c r="E59">
        <v>2</v>
      </c>
      <c r="F59">
        <v>21.703824796035544</v>
      </c>
      <c r="G59">
        <v>0.04701665</v>
      </c>
      <c r="H59">
        <v>1850</v>
      </c>
      <c r="N59" t="str">
        <f t="shared" si="32"/>
        <v/>
      </c>
      <c r="O59">
        <f t="shared" si="33"/>
        <v>21.703824796035544</v>
      </c>
      <c r="U59">
        <v>145</v>
      </c>
      <c r="V59">
        <v>2534</v>
      </c>
    </row>
    <row r="60">
      <c r="A60" s="3" t="s">
        <v>522</v>
      </c>
      <c r="B60">
        <v>59</v>
      </c>
      <c r="E60">
        <v>1</v>
      </c>
      <c r="F60">
        <v>9.2930980650717707</v>
      </c>
      <c r="G60">
        <v>0.079581159999999998</v>
      </c>
      <c r="H60">
        <v>1850</v>
      </c>
      <c r="N60">
        <f t="shared" si="32"/>
        <v>9.2930980650717707</v>
      </c>
      <c r="O60" t="str">
        <f t="shared" si="33"/>
        <v/>
      </c>
      <c r="U60">
        <v>145</v>
      </c>
      <c r="V60">
        <v>2534</v>
      </c>
    </row>
    <row r="61">
      <c r="A61" s="3" t="s">
        <v>523</v>
      </c>
      <c r="B61">
        <v>60</v>
      </c>
      <c r="C61" s="4">
        <v>3.3329605638110503e-05</v>
      </c>
      <c r="D61" s="4">
        <f t="shared" ref="D61:D68" si="38">C61/0.00008</f>
        <v>0.41662007047638128</v>
      </c>
      <c r="E61">
        <v>2</v>
      </c>
      <c r="F61">
        <v>16.990909378947368</v>
      </c>
      <c r="G61">
        <v>0.050795029999999998</v>
      </c>
      <c r="H61">
        <v>1850</v>
      </c>
      <c r="N61" t="str">
        <f t="shared" si="32"/>
        <v/>
      </c>
      <c r="O61">
        <f t="shared" si="33"/>
        <v>16.990909378947368</v>
      </c>
      <c r="U61">
        <v>145</v>
      </c>
      <c r="V61">
        <v>2534</v>
      </c>
    </row>
    <row r="62">
      <c r="A62" s="3" t="s">
        <v>524</v>
      </c>
      <c r="B62">
        <v>61</v>
      </c>
      <c r="C62" s="4">
        <v>2.67379395372867e-05</v>
      </c>
      <c r="D62" s="4">
        <f t="shared" si="38"/>
        <v>0.33422424421608371</v>
      </c>
      <c r="E62">
        <v>2</v>
      </c>
      <c r="F62">
        <v>17.786984647983594</v>
      </c>
      <c r="G62">
        <v>0.069540569999999996</v>
      </c>
      <c r="H62">
        <v>1850</v>
      </c>
      <c r="N62" t="str">
        <f t="shared" si="32"/>
        <v/>
      </c>
      <c r="O62">
        <f t="shared" si="33"/>
        <v>17.786984647983594</v>
      </c>
      <c r="U62">
        <v>145</v>
      </c>
      <c r="V62">
        <v>2534</v>
      </c>
    </row>
    <row r="63">
      <c r="A63" s="3" t="s">
        <v>525</v>
      </c>
      <c r="B63">
        <v>62</v>
      </c>
      <c r="C63" s="4">
        <v>1.0844778538815599e-05</v>
      </c>
      <c r="D63" s="4">
        <f t="shared" si="38"/>
        <v>0.13555973173519498</v>
      </c>
      <c r="E63">
        <v>2</v>
      </c>
      <c r="F63">
        <v>18.889593917019823</v>
      </c>
      <c r="G63">
        <v>0.061303129999999997</v>
      </c>
      <c r="H63">
        <v>1850</v>
      </c>
      <c r="N63" t="str">
        <f t="shared" si="32"/>
        <v/>
      </c>
      <c r="O63">
        <f t="shared" si="33"/>
        <v>18.889593917019823</v>
      </c>
      <c r="U63">
        <v>145</v>
      </c>
      <c r="V63">
        <v>2534</v>
      </c>
    </row>
    <row r="64">
      <c r="A64" s="3" t="s">
        <v>526</v>
      </c>
      <c r="B64">
        <v>63</v>
      </c>
      <c r="C64" s="4">
        <v>7.1689557077631201e-05</v>
      </c>
      <c r="D64" s="4">
        <f t="shared" si="38"/>
        <v>0.89611946347038995</v>
      </c>
      <c r="E64">
        <v>2</v>
      </c>
      <c r="F64">
        <v>24.555452230895419</v>
      </c>
      <c r="G64">
        <v>0.06013524</v>
      </c>
      <c r="H64">
        <v>1850</v>
      </c>
      <c r="N64" t="str">
        <f t="shared" si="32"/>
        <v/>
      </c>
      <c r="O64">
        <f t="shared" si="33"/>
        <v>24.555452230895419</v>
      </c>
      <c r="U64">
        <v>145</v>
      </c>
      <c r="V64">
        <v>2534</v>
      </c>
    </row>
    <row r="65">
      <c r="A65" s="3" t="s">
        <v>527</v>
      </c>
      <c r="B65">
        <v>64</v>
      </c>
      <c r="C65" s="4">
        <v>3.8634851587504401e-05</v>
      </c>
      <c r="D65" s="4">
        <f t="shared" si="38"/>
        <v>0.48293564484380497</v>
      </c>
      <c r="E65">
        <v>2</v>
      </c>
      <c r="F65">
        <v>14.141899499931647</v>
      </c>
      <c r="G65">
        <v>0.047348609999999999</v>
      </c>
      <c r="H65">
        <v>1850</v>
      </c>
      <c r="N65" t="str">
        <f t="shared" si="32"/>
        <v/>
      </c>
      <c r="O65">
        <f t="shared" si="33"/>
        <v>14.141899499931647</v>
      </c>
      <c r="U65">
        <v>145</v>
      </c>
      <c r="V65">
        <v>2534</v>
      </c>
    </row>
    <row r="66">
      <c r="A66" s="3" t="s">
        <v>528</v>
      </c>
      <c r="B66">
        <v>65</v>
      </c>
      <c r="C66" s="4">
        <v>4.8806850197468003e-05</v>
      </c>
      <c r="D66" s="4">
        <f t="shared" si="38"/>
        <v>0.61008562746835004</v>
      </c>
      <c r="E66">
        <v>2</v>
      </c>
      <c r="F66">
        <v>14.631129813807245</v>
      </c>
      <c r="G66">
        <v>0.057177699999999998</v>
      </c>
      <c r="H66">
        <v>1850</v>
      </c>
      <c r="N66" t="str">
        <f t="shared" ref="N66:N122" si="39">IF(E66=1,F66,"")</f>
        <v/>
      </c>
      <c r="O66">
        <f t="shared" ref="O66" si="40">IF(E66=2,F66,"")</f>
        <v>14.631129813807245</v>
      </c>
      <c r="U66">
        <v>145</v>
      </c>
      <c r="V66">
        <v>2534</v>
      </c>
    </row>
    <row r="67">
      <c r="A67" s="3" t="s">
        <v>529</v>
      </c>
      <c r="B67">
        <v>66</v>
      </c>
      <c r="C67" s="4">
        <v>2.03484030819919e-05</v>
      </c>
      <c r="D67" s="4">
        <f t="shared" si="38"/>
        <v>0.25435503852489871</v>
      </c>
      <c r="E67">
        <v>2</v>
      </c>
      <c r="F67">
        <v>14.245649082843473</v>
      </c>
      <c r="G67">
        <v>0.063130909999999998</v>
      </c>
      <c r="H67">
        <v>1850</v>
      </c>
      <c r="N67" t="str">
        <f t="shared" si="39"/>
        <v/>
      </c>
      <c r="O67">
        <f t="shared" ref="O67:O122" si="41">IF(E67=2,F67,"")</f>
        <v>14.245649082843473</v>
      </c>
      <c r="U67">
        <v>145</v>
      </c>
      <c r="V67">
        <v>2534</v>
      </c>
    </row>
    <row r="68">
      <c r="A68" s="3" t="s">
        <v>530</v>
      </c>
      <c r="B68">
        <v>67</v>
      </c>
      <c r="C68" s="4">
        <v>1.9317425793752201e-05</v>
      </c>
      <c r="D68" s="4">
        <f t="shared" si="38"/>
        <v>0.24146782242190248</v>
      </c>
      <c r="E68">
        <v>2</v>
      </c>
      <c r="F68">
        <v>14.794617396719071</v>
      </c>
      <c r="G68">
        <v>0.062499020000000002</v>
      </c>
      <c r="H68">
        <v>1850</v>
      </c>
      <c r="N68" t="str">
        <f t="shared" si="39"/>
        <v/>
      </c>
      <c r="O68">
        <f t="shared" si="41"/>
        <v>14.794617396719071</v>
      </c>
      <c r="U68">
        <v>145</v>
      </c>
      <c r="V68">
        <v>2534</v>
      </c>
    </row>
    <row r="69">
      <c r="A69" s="3" t="s">
        <v>531</v>
      </c>
      <c r="B69">
        <v>68</v>
      </c>
      <c r="C69" s="4">
        <v>4.7961646018645802e-05</v>
      </c>
      <c r="D69" s="4">
        <f>C69/0.00007</f>
        <v>0.6851663716949401</v>
      </c>
      <c r="E69">
        <v>2</v>
      </c>
      <c r="F69">
        <v>21.039092665755298</v>
      </c>
      <c r="G69">
        <v>0.071404140000000005</v>
      </c>
      <c r="H69">
        <v>1850</v>
      </c>
      <c r="N69" t="str">
        <f t="shared" si="39"/>
        <v/>
      </c>
      <c r="O69">
        <f t="shared" si="41"/>
        <v>21.039092665755298</v>
      </c>
      <c r="U69">
        <v>145</v>
      </c>
      <c r="V69">
        <v>2534</v>
      </c>
    </row>
    <row r="70">
      <c r="A70" s="3" t="s">
        <v>532</v>
      </c>
      <c r="B70">
        <v>69</v>
      </c>
      <c r="C70" s="4">
        <v>3.0752022713286099e-05</v>
      </c>
      <c r="D70" s="4">
        <f t="shared" ref="D70:D74" si="42">C70/0.00005</f>
        <v>0.61504045426572196</v>
      </c>
      <c r="E70">
        <v>2</v>
      </c>
      <c r="F70">
        <v>22.146462979630897</v>
      </c>
      <c r="G70">
        <v>0.058627400000000003</v>
      </c>
      <c r="H70">
        <v>1850</v>
      </c>
      <c r="N70" t="str">
        <f t="shared" si="39"/>
        <v/>
      </c>
      <c r="O70">
        <f t="shared" si="41"/>
        <v>22.146462979630897</v>
      </c>
      <c r="U70">
        <v>145</v>
      </c>
      <c r="V70">
        <v>2534</v>
      </c>
    </row>
    <row r="71">
      <c r="A71" s="3" t="s">
        <v>533</v>
      </c>
      <c r="B71">
        <v>70</v>
      </c>
      <c r="C71" s="4">
        <v>2.5778610148998599e-05</v>
      </c>
      <c r="D71" s="4">
        <f t="shared" si="42"/>
        <v>0.51557220297997197</v>
      </c>
      <c r="E71">
        <v>2</v>
      </c>
      <c r="F71">
        <v>22.193164248667124</v>
      </c>
      <c r="G71">
        <v>0.056023509999999999</v>
      </c>
      <c r="H71">
        <v>1850</v>
      </c>
      <c r="N71" t="str">
        <f t="shared" si="39"/>
        <v/>
      </c>
      <c r="O71">
        <f t="shared" si="41"/>
        <v>22.193164248667124</v>
      </c>
      <c r="U71">
        <v>145</v>
      </c>
      <c r="V71">
        <v>2534</v>
      </c>
    </row>
    <row r="72">
      <c r="A72" s="3" t="s">
        <v>534</v>
      </c>
      <c r="B72">
        <v>71</v>
      </c>
      <c r="C72" s="4">
        <v>2.36048405714284e-05</v>
      </c>
      <c r="D72" s="4">
        <f t="shared" si="42"/>
        <v>0.47209681142856796</v>
      </c>
      <c r="E72">
        <v>2</v>
      </c>
      <c r="F72">
        <v>22.574877517703349</v>
      </c>
      <c r="G72">
        <v>0.058072150000000003</v>
      </c>
      <c r="H72">
        <v>1850</v>
      </c>
      <c r="N72" t="str">
        <f t="shared" si="39"/>
        <v/>
      </c>
      <c r="O72">
        <f t="shared" si="41"/>
        <v>22.574877517703349</v>
      </c>
      <c r="U72">
        <v>145</v>
      </c>
      <c r="V72">
        <v>2534</v>
      </c>
    </row>
    <row r="73">
      <c r="A73" s="3" t="s">
        <v>535</v>
      </c>
      <c r="B73">
        <v>72</v>
      </c>
      <c r="C73" s="4">
        <v>1.5826535730438199e-05</v>
      </c>
      <c r="D73" s="4">
        <f t="shared" si="42"/>
        <v>0.31653071460876397</v>
      </c>
      <c r="E73">
        <v>2</v>
      </c>
      <c r="F73">
        <v>21.893061831578947</v>
      </c>
      <c r="G73">
        <v>0.074444949999999996</v>
      </c>
      <c r="H73">
        <v>1850</v>
      </c>
      <c r="N73" t="str">
        <f t="shared" si="39"/>
        <v/>
      </c>
      <c r="O73">
        <f t="shared" si="41"/>
        <v>21.893061831578947</v>
      </c>
      <c r="U73">
        <v>145</v>
      </c>
      <c r="V73">
        <v>2534</v>
      </c>
    </row>
    <row r="74">
      <c r="A74" s="3" t="s">
        <v>536</v>
      </c>
      <c r="B74">
        <v>73</v>
      </c>
      <c r="C74" s="4">
        <v>1.9317425793752201e-05</v>
      </c>
      <c r="D74" s="4">
        <f t="shared" si="42"/>
        <v>0.38634851587504399</v>
      </c>
      <c r="E74">
        <v>2</v>
      </c>
      <c r="F74">
        <v>21.214546100615173</v>
      </c>
      <c r="G74">
        <v>0.067549499999999998</v>
      </c>
      <c r="H74">
        <v>1850</v>
      </c>
      <c r="N74" t="str">
        <f t="shared" si="39"/>
        <v/>
      </c>
      <c r="O74">
        <f t="shared" si="41"/>
        <v>21.214546100615173</v>
      </c>
      <c r="U74">
        <v>145</v>
      </c>
      <c r="V74">
        <v>2534</v>
      </c>
    </row>
    <row r="75">
      <c r="A75" s="3" t="s">
        <v>537</v>
      </c>
      <c r="B75">
        <v>74</v>
      </c>
      <c r="C75" s="4">
        <v>6.21755004620589e-05</v>
      </c>
      <c r="D75" s="4">
        <f>C75/0.00007</f>
        <v>0.88822143517227004</v>
      </c>
      <c r="E75">
        <v>2</v>
      </c>
      <c r="F75">
        <v>19.352126414490773</v>
      </c>
      <c r="G75">
        <v>0.054890620000000001</v>
      </c>
      <c r="H75">
        <v>1850</v>
      </c>
      <c r="N75" t="str">
        <f t="shared" si="39"/>
        <v/>
      </c>
      <c r="O75">
        <f t="shared" si="41"/>
        <v>19.352126414490773</v>
      </c>
      <c r="U75">
        <v>145</v>
      </c>
      <c r="V75">
        <v>2534</v>
      </c>
    </row>
    <row r="76">
      <c r="A76" s="3" t="s">
        <v>538</v>
      </c>
      <c r="B76">
        <v>75</v>
      </c>
      <c r="C76" s="4">
        <v>3.3914005136653202e-05</v>
      </c>
      <c r="D76" s="4">
        <f>C76/0.00004</f>
        <v>0.84785012841633001</v>
      </c>
      <c r="E76">
        <v>2</v>
      </c>
      <c r="F76">
        <v>19.062853683526999</v>
      </c>
      <c r="G76">
        <v>0.053766580000000001</v>
      </c>
      <c r="H76">
        <v>1850</v>
      </c>
      <c r="N76" t="str">
        <f t="shared" si="39"/>
        <v/>
      </c>
      <c r="O76">
        <f t="shared" si="41"/>
        <v>19.062853683526999</v>
      </c>
      <c r="U76">
        <v>145</v>
      </c>
      <c r="V76">
        <v>2534</v>
      </c>
    </row>
    <row r="77">
      <c r="A77" s="3" t="s">
        <v>539</v>
      </c>
      <c r="B77">
        <v>76</v>
      </c>
      <c r="C77" s="4">
        <v>4.8911473790621001e-05</v>
      </c>
      <c r="D77" s="4">
        <f t="shared" ref="D77:D78" si="43">C77/0.00006</f>
        <v>0.81519122984368331</v>
      </c>
      <c r="E77">
        <v>2</v>
      </c>
      <c r="F77">
        <v>19.000372952563225</v>
      </c>
      <c r="G77">
        <v>0.060473819999999998</v>
      </c>
      <c r="H77">
        <v>1850</v>
      </c>
      <c r="N77" t="str">
        <f t="shared" si="39"/>
        <v/>
      </c>
      <c r="O77">
        <f t="shared" si="41"/>
        <v>19.000372952563225</v>
      </c>
      <c r="U77">
        <v>145</v>
      </c>
      <c r="V77">
        <v>2534</v>
      </c>
    </row>
    <row r="78">
      <c r="A78" s="3" t="s">
        <v>540</v>
      </c>
      <c r="B78">
        <v>77</v>
      </c>
      <c r="C78" s="4">
        <v>3.0164617573485499e-05</v>
      </c>
      <c r="D78" s="4">
        <f t="shared" si="43"/>
        <v>0.50274362622475832</v>
      </c>
      <c r="E78">
        <v>2</v>
      </c>
      <c r="F78">
        <v>22.854896266438825</v>
      </c>
      <c r="G78">
        <v>0.043467440000000003</v>
      </c>
      <c r="H78">
        <v>1850</v>
      </c>
      <c r="N78" t="str">
        <f t="shared" si="39"/>
        <v/>
      </c>
      <c r="O78">
        <f t="shared" si="41"/>
        <v>22.854896266438825</v>
      </c>
      <c r="U78">
        <v>145</v>
      </c>
      <c r="V78">
        <v>2534</v>
      </c>
    </row>
    <row r="79">
      <c r="A79" s="3" t="s">
        <v>541</v>
      </c>
      <c r="B79">
        <v>78</v>
      </c>
      <c r="E79">
        <v>1</v>
      </c>
      <c r="F79">
        <v>11.822532535475052</v>
      </c>
      <c r="G79">
        <v>0.054295499999999997</v>
      </c>
      <c r="H79">
        <v>1850</v>
      </c>
      <c r="N79">
        <f t="shared" si="39"/>
        <v>11.822532535475052</v>
      </c>
      <c r="O79" t="str">
        <f t="shared" si="41"/>
        <v/>
      </c>
      <c r="U79">
        <v>145</v>
      </c>
      <c r="V79">
        <v>2534</v>
      </c>
    </row>
    <row r="80">
      <c r="A80" s="3" t="s">
        <v>542</v>
      </c>
      <c r="B80">
        <v>79</v>
      </c>
      <c r="E80">
        <v>1</v>
      </c>
      <c r="F80">
        <v>10.331279849350651</v>
      </c>
      <c r="G80">
        <v>0.043015280000000003</v>
      </c>
      <c r="H80">
        <v>1850</v>
      </c>
      <c r="N80">
        <f t="shared" si="39"/>
        <v>10.331279849350651</v>
      </c>
      <c r="O80" t="str">
        <f t="shared" si="41"/>
        <v/>
      </c>
      <c r="U80">
        <v>145</v>
      </c>
      <c r="V80">
        <v>2534</v>
      </c>
    </row>
    <row r="81">
      <c r="A81" s="3" t="s">
        <v>543</v>
      </c>
      <c r="B81">
        <v>80</v>
      </c>
      <c r="C81" s="4">
        <v>2.7318965547660199e-05</v>
      </c>
      <c r="D81" s="4">
        <f t="shared" ref="D81:D86" si="44">C81/0.0001</f>
        <v>0.27318965547660196</v>
      </c>
      <c r="E81">
        <v>2</v>
      </c>
      <c r="F81">
        <v>16.721733118386879</v>
      </c>
      <c r="G81">
        <v>0.054639630000000002</v>
      </c>
      <c r="H81">
        <v>1850</v>
      </c>
      <c r="N81" t="str">
        <f t="shared" si="39"/>
        <v/>
      </c>
      <c r="O81">
        <f t="shared" si="41"/>
        <v>16.721733118386879</v>
      </c>
      <c r="U81">
        <v>145</v>
      </c>
      <c r="V81">
        <v>2534</v>
      </c>
    </row>
    <row r="82">
      <c r="A82" s="3" t="s">
        <v>544</v>
      </c>
      <c r="B82">
        <v>81</v>
      </c>
      <c r="C82" s="4">
        <v>4.2237726727481797e-05</v>
      </c>
      <c r="D82" s="4">
        <f t="shared" si="44"/>
        <v>0.42237726727481795</v>
      </c>
      <c r="E82">
        <v>2</v>
      </c>
      <c r="F82">
        <v>23.877333387423104</v>
      </c>
      <c r="G82">
        <v>0.047044900000000001</v>
      </c>
      <c r="H82">
        <v>1850</v>
      </c>
      <c r="N82" t="str">
        <f t="shared" si="39"/>
        <v/>
      </c>
      <c r="O82">
        <f t="shared" si="41"/>
        <v>23.877333387423104</v>
      </c>
      <c r="U82">
        <v>145</v>
      </c>
      <c r="V82">
        <v>2534</v>
      </c>
    </row>
    <row r="83">
      <c r="A83" s="3" t="s">
        <v>545</v>
      </c>
      <c r="B83">
        <v>82</v>
      </c>
      <c r="C83" s="4">
        <v>7.0814521714285397e-05</v>
      </c>
      <c r="D83" s="4">
        <f t="shared" si="44"/>
        <v>0.70814521714285394</v>
      </c>
      <c r="E83">
        <v>2</v>
      </c>
      <c r="F83">
        <v>23.019143701298702</v>
      </c>
      <c r="G83">
        <v>0.046490900000000002</v>
      </c>
      <c r="H83">
        <v>1850</v>
      </c>
      <c r="N83" t="str">
        <f t="shared" si="39"/>
        <v/>
      </c>
      <c r="O83">
        <f t="shared" si="41"/>
        <v>23.019143701298702</v>
      </c>
      <c r="U83">
        <v>145</v>
      </c>
      <c r="V83">
        <v>2534</v>
      </c>
    </row>
    <row r="84">
      <c r="A84" s="3" t="s">
        <v>546</v>
      </c>
      <c r="B84">
        <v>83</v>
      </c>
      <c r="C84" s="4">
        <v>6.3063434770965502e-05</v>
      </c>
      <c r="D84" s="4">
        <f t="shared" si="44"/>
        <v>0.63063434770965499</v>
      </c>
      <c r="E84">
        <v>2</v>
      </c>
      <c r="F84">
        <v>20.995675970334929</v>
      </c>
      <c r="G84">
        <v>0.050155030000000003</v>
      </c>
      <c r="H84">
        <v>1850</v>
      </c>
      <c r="N84" t="str">
        <f t="shared" si="39"/>
        <v/>
      </c>
      <c r="O84">
        <f t="shared" si="41"/>
        <v>20.995675970334929</v>
      </c>
      <c r="U84">
        <v>145</v>
      </c>
      <c r="V84">
        <v>2534</v>
      </c>
    </row>
    <row r="85">
      <c r="A85" s="3" t="s">
        <v>547</v>
      </c>
      <c r="B85">
        <v>84</v>
      </c>
      <c r="C85" s="4">
        <v>3.7425111591494002e-05</v>
      </c>
      <c r="D85" s="4">
        <f t="shared" si="44"/>
        <v>0.37425111591493998</v>
      </c>
      <c r="E85">
        <v>2</v>
      </c>
      <c r="F85">
        <v>21.346620284210527</v>
      </c>
      <c r="G85">
        <v>0.055970440000000003</v>
      </c>
      <c r="H85">
        <v>1850</v>
      </c>
      <c r="N85" t="str">
        <f t="shared" si="39"/>
        <v/>
      </c>
      <c r="O85">
        <f t="shared" si="41"/>
        <v>21.346620284210527</v>
      </c>
      <c r="U85">
        <v>145</v>
      </c>
      <c r="V85">
        <v>2534</v>
      </c>
    </row>
    <row r="86">
      <c r="A86" s="3" t="s">
        <v>548</v>
      </c>
      <c r="B86">
        <v>85</v>
      </c>
      <c r="C86" s="4">
        <v>0</v>
      </c>
      <c r="D86" s="4">
        <f t="shared" si="44"/>
        <v>0</v>
      </c>
      <c r="E86">
        <v>1</v>
      </c>
      <c r="F86">
        <v>14.754007553246753</v>
      </c>
      <c r="G86">
        <v>0.046568520000000002</v>
      </c>
      <c r="H86">
        <v>1850</v>
      </c>
      <c r="N86">
        <f t="shared" si="39"/>
        <v>14.754007553246753</v>
      </c>
      <c r="O86" t="str">
        <f t="shared" si="41"/>
        <v/>
      </c>
      <c r="U86">
        <v>145</v>
      </c>
      <c r="V86">
        <v>2534</v>
      </c>
    </row>
    <row r="87">
      <c r="A87" s="3" t="s">
        <v>549</v>
      </c>
      <c r="B87">
        <v>86</v>
      </c>
      <c r="E87">
        <v>1</v>
      </c>
      <c r="F87">
        <v>12.141743867122351</v>
      </c>
      <c r="G87">
        <v>0.048420539999999998</v>
      </c>
      <c r="H87">
        <v>1850</v>
      </c>
      <c r="N87">
        <f t="shared" si="39"/>
        <v>12.141743867122351</v>
      </c>
      <c r="O87" t="str">
        <f t="shared" si="41"/>
        <v/>
      </c>
      <c r="U87">
        <v>145</v>
      </c>
      <c r="V87">
        <v>2534</v>
      </c>
    </row>
    <row r="88">
      <c r="A88" s="3" t="s">
        <v>550</v>
      </c>
      <c r="B88">
        <v>87</v>
      </c>
      <c r="E88">
        <v>1</v>
      </c>
      <c r="F88">
        <v>11.795712136158578</v>
      </c>
      <c r="G88">
        <v>0.053275980000000001</v>
      </c>
      <c r="H88">
        <v>1850</v>
      </c>
      <c r="N88">
        <f t="shared" si="39"/>
        <v>11.795712136158578</v>
      </c>
      <c r="O88" t="str">
        <f t="shared" si="41"/>
        <v/>
      </c>
      <c r="U88">
        <v>145</v>
      </c>
      <c r="V88">
        <v>2534</v>
      </c>
    </row>
    <row r="89">
      <c r="A89" s="3" t="s">
        <v>551</v>
      </c>
      <c r="B89">
        <v>88</v>
      </c>
      <c r="C89" s="4">
        <v>7.2982995087108999e-05</v>
      </c>
      <c r="D89" s="4">
        <f t="shared" ref="D89:D91" si="45">C89/0.00008</f>
        <v>0.91228743858886241</v>
      </c>
      <c r="E89">
        <v>2</v>
      </c>
      <c r="F89">
        <v>19.687920450034177</v>
      </c>
      <c r="G89">
        <v>0.049550089999999998</v>
      </c>
      <c r="H89">
        <v>1850</v>
      </c>
      <c r="N89" t="str">
        <f t="shared" si="39"/>
        <v/>
      </c>
      <c r="O89">
        <f t="shared" si="41"/>
        <v>19.687920450034177</v>
      </c>
      <c r="U89">
        <v>145</v>
      </c>
      <c r="V89">
        <v>2534</v>
      </c>
    </row>
    <row r="90">
      <c r="A90" s="3" t="s">
        <v>552</v>
      </c>
      <c r="B90">
        <v>89</v>
      </c>
      <c r="C90" s="4">
        <v>3.5099129359417699e-05</v>
      </c>
      <c r="D90" s="4">
        <f t="shared" si="45"/>
        <v>0.43873911699272122</v>
      </c>
      <c r="E90">
        <v>2</v>
      </c>
      <c r="F90">
        <v>20.670894719070404</v>
      </c>
      <c r="G90">
        <v>0.052434069999999999</v>
      </c>
      <c r="H90">
        <v>1850</v>
      </c>
      <c r="N90" t="str">
        <f t="shared" si="39"/>
        <v/>
      </c>
      <c r="O90">
        <f t="shared" si="41"/>
        <v>20.670894719070404</v>
      </c>
      <c r="U90">
        <v>145</v>
      </c>
      <c r="V90">
        <v>2534</v>
      </c>
    </row>
    <row r="91">
      <c r="A91" s="3" t="s">
        <v>553</v>
      </c>
      <c r="B91">
        <v>90</v>
      </c>
      <c r="C91" s="4">
        <v>2.3277736899100999e-05</v>
      </c>
      <c r="D91" s="4">
        <f t="shared" si="45"/>
        <v>0.29097171123876248</v>
      </c>
      <c r="E91">
        <v>2</v>
      </c>
      <c r="F91">
        <v>22.069041032946004</v>
      </c>
      <c r="G91">
        <v>0.06888851</v>
      </c>
      <c r="H91">
        <v>1850</v>
      </c>
      <c r="N91" t="str">
        <f t="shared" si="39"/>
        <v/>
      </c>
      <c r="O91">
        <f t="shared" si="41"/>
        <v>22.069041032946004</v>
      </c>
      <c r="U91">
        <v>145</v>
      </c>
      <c r="V91">
        <v>2534</v>
      </c>
    </row>
    <row r="92">
      <c r="A92" s="3" t="s">
        <v>554</v>
      </c>
      <c r="B92">
        <v>91</v>
      </c>
      <c r="E92">
        <v>1</v>
      </c>
      <c r="F92">
        <v>13.098054301982229</v>
      </c>
      <c r="G92">
        <v>0.046971319999999997</v>
      </c>
      <c r="H92">
        <v>1850</v>
      </c>
      <c r="N92">
        <f t="shared" si="39"/>
        <v>13.098054301982229</v>
      </c>
      <c r="O92" t="str">
        <f t="shared" si="41"/>
        <v/>
      </c>
      <c r="U92">
        <v>145</v>
      </c>
      <c r="V92">
        <v>2534</v>
      </c>
    </row>
    <row r="93">
      <c r="A93" s="3" t="s">
        <v>555</v>
      </c>
      <c r="B93">
        <v>92</v>
      </c>
      <c r="E93">
        <v>1</v>
      </c>
      <c r="F93">
        <v>10.831485615857826</v>
      </c>
      <c r="G93">
        <v>0.049622680000000002</v>
      </c>
      <c r="H93">
        <v>1850</v>
      </c>
      <c r="N93">
        <f t="shared" si="39"/>
        <v>10.831485615857826</v>
      </c>
      <c r="O93" t="str">
        <f t="shared" si="41"/>
        <v/>
      </c>
      <c r="U93">
        <v>145</v>
      </c>
      <c r="V93">
        <v>2534</v>
      </c>
    </row>
    <row r="94">
      <c r="A94" s="3" t="s">
        <v>556</v>
      </c>
      <c r="B94">
        <v>93</v>
      </c>
      <c r="E94">
        <v>1</v>
      </c>
      <c r="F94">
        <v>9.2775648848940531</v>
      </c>
      <c r="G94">
        <v>0.051046149999999998</v>
      </c>
      <c r="H94">
        <v>1850</v>
      </c>
      <c r="N94">
        <f t="shared" si="39"/>
        <v>9.2775648848940531</v>
      </c>
      <c r="O94" t="str">
        <f t="shared" si="41"/>
        <v/>
      </c>
      <c r="U94">
        <v>145</v>
      </c>
      <c r="V94">
        <v>2534</v>
      </c>
    </row>
    <row r="95">
      <c r="A95" s="3" t="s">
        <v>557</v>
      </c>
      <c r="B95">
        <v>94</v>
      </c>
      <c r="E95">
        <v>1</v>
      </c>
      <c r="F95">
        <v>9.2862701987696514</v>
      </c>
      <c r="G95">
        <v>0.053977579999999997</v>
      </c>
      <c r="H95">
        <v>1850</v>
      </c>
      <c r="N95">
        <f t="shared" si="39"/>
        <v>9.2862701987696514</v>
      </c>
      <c r="O95" t="str">
        <f t="shared" si="41"/>
        <v/>
      </c>
      <c r="U95">
        <v>145</v>
      </c>
      <c r="V95">
        <v>2534</v>
      </c>
    </row>
    <row r="96">
      <c r="A96" s="3" t="s">
        <v>558</v>
      </c>
      <c r="B96">
        <v>95</v>
      </c>
      <c r="E96">
        <v>1</v>
      </c>
      <c r="F96">
        <v>8.9802454678058794</v>
      </c>
      <c r="G96">
        <v>0.051472749999999998</v>
      </c>
      <c r="H96">
        <v>1850</v>
      </c>
      <c r="N96">
        <f t="shared" si="39"/>
        <v>8.9802454678058794</v>
      </c>
      <c r="O96" t="str">
        <f t="shared" si="41"/>
        <v/>
      </c>
      <c r="U96">
        <v>145</v>
      </c>
      <c r="V96">
        <v>2534</v>
      </c>
    </row>
    <row r="97">
      <c r="A97" s="3" t="s">
        <v>559</v>
      </c>
      <c r="B97">
        <v>96</v>
      </c>
      <c r="C97" s="4">
        <v>6.2982324210363107e-05</v>
      </c>
      <c r="D97" s="4">
        <f t="shared" ref="D97:D103" si="46">C97/0.00025</f>
        <v>0.25192929684145243</v>
      </c>
      <c r="E97">
        <v>2</v>
      </c>
      <c r="F97">
        <v>19.996443781681478</v>
      </c>
      <c r="G97">
        <v>0.052146810000000002</v>
      </c>
      <c r="H97">
        <v>1850</v>
      </c>
      <c r="N97" t="str">
        <f t="shared" si="39"/>
        <v/>
      </c>
      <c r="O97">
        <f t="shared" si="41"/>
        <v>19.996443781681478</v>
      </c>
      <c r="U97">
        <v>145</v>
      </c>
      <c r="V97">
        <v>2534</v>
      </c>
    </row>
    <row r="98">
      <c r="A98" s="3" t="s">
        <v>560</v>
      </c>
      <c r="B98">
        <v>97</v>
      </c>
      <c r="C98" s="4">
        <v>8.4958174261232298e-05</v>
      </c>
      <c r="D98" s="4">
        <f t="shared" si="46"/>
        <v>0.33983269704492919</v>
      </c>
      <c r="E98">
        <v>2</v>
      </c>
      <c r="F98">
        <v>19.073417050717701</v>
      </c>
      <c r="G98">
        <v>0.048656570000000003</v>
      </c>
      <c r="H98">
        <v>1850</v>
      </c>
      <c r="N98" t="str">
        <f t="shared" si="39"/>
        <v/>
      </c>
      <c r="O98">
        <f t="shared" si="41"/>
        <v>19.073417050717701</v>
      </c>
      <c r="U98">
        <v>145</v>
      </c>
      <c r="V98">
        <v>2534</v>
      </c>
    </row>
    <row r="99">
      <c r="A99" s="3" t="s">
        <v>561</v>
      </c>
      <c r="B99">
        <v>98</v>
      </c>
      <c r="C99" s="4">
        <v>0.000101238338972719</v>
      </c>
      <c r="D99" s="4">
        <f t="shared" si="46"/>
        <v>0.404953355890876</v>
      </c>
      <c r="E99">
        <v>2</v>
      </c>
      <c r="F99">
        <v>19.209491364593301</v>
      </c>
      <c r="G99">
        <v>0.053303099999999999</v>
      </c>
      <c r="H99">
        <v>1850</v>
      </c>
      <c r="N99" t="str">
        <f t="shared" si="39"/>
        <v/>
      </c>
      <c r="O99">
        <f t="shared" si="41"/>
        <v>19.209491364593301</v>
      </c>
      <c r="U99">
        <v>145</v>
      </c>
      <c r="V99">
        <v>2534</v>
      </c>
    </row>
    <row r="100">
      <c r="A100" s="3" t="s">
        <v>562</v>
      </c>
      <c r="B100">
        <v>99</v>
      </c>
      <c r="C100" s="4">
        <v>0.000136032320910393</v>
      </c>
      <c r="D100" s="4">
        <f t="shared" si="46"/>
        <v>0.54412928364157198</v>
      </c>
      <c r="E100">
        <v>2</v>
      </c>
      <c r="F100">
        <v>18.93422463362953</v>
      </c>
      <c r="G100">
        <v>0.052953559999999997</v>
      </c>
      <c r="H100">
        <v>1850</v>
      </c>
      <c r="N100" t="str">
        <f t="shared" si="39"/>
        <v/>
      </c>
      <c r="O100">
        <f t="shared" si="41"/>
        <v>18.93422463362953</v>
      </c>
      <c r="U100">
        <v>145</v>
      </c>
      <c r="V100">
        <v>2534</v>
      </c>
    </row>
    <row r="101">
      <c r="A101" s="3" t="s">
        <v>563</v>
      </c>
      <c r="B101">
        <v>100</v>
      </c>
      <c r="C101" s="4">
        <v>0.000154968820939112</v>
      </c>
      <c r="D101" s="4">
        <f t="shared" si="46"/>
        <v>0.61987528375644796</v>
      </c>
      <c r="E101">
        <v>2</v>
      </c>
      <c r="F101">
        <v>19.690231947505126</v>
      </c>
      <c r="G101">
        <v>0.061387820000000003</v>
      </c>
      <c r="H101">
        <v>1850</v>
      </c>
      <c r="N101" t="str">
        <f t="shared" si="39"/>
        <v/>
      </c>
      <c r="O101">
        <f t="shared" si="41"/>
        <v>19.690231947505126</v>
      </c>
      <c r="U101">
        <v>145</v>
      </c>
      <c r="V101">
        <v>2534</v>
      </c>
    </row>
    <row r="102">
      <c r="A102" s="3" t="s">
        <v>564</v>
      </c>
      <c r="B102">
        <v>101</v>
      </c>
      <c r="C102" s="4">
        <v>0.00018139678148266101</v>
      </c>
      <c r="D102" s="4">
        <f t="shared" si="46"/>
        <v>0.72558712593064401</v>
      </c>
      <c r="E102">
        <v>2</v>
      </c>
      <c r="F102">
        <v>20.651078216541354</v>
      </c>
      <c r="G102">
        <v>0.042903719999999999</v>
      </c>
      <c r="H102">
        <v>1850</v>
      </c>
      <c r="N102" t="str">
        <f t="shared" si="39"/>
        <v/>
      </c>
      <c r="O102">
        <f t="shared" si="41"/>
        <v>20.651078216541354</v>
      </c>
      <c r="U102">
        <v>145</v>
      </c>
      <c r="V102">
        <v>2534</v>
      </c>
    </row>
    <row r="103">
      <c r="A103" s="3" t="s">
        <v>565</v>
      </c>
      <c r="B103">
        <v>102</v>
      </c>
      <c r="C103" s="4">
        <v>0.00020070164463637099</v>
      </c>
      <c r="D103" s="4">
        <f t="shared" si="46"/>
        <v>0.80280657854548398</v>
      </c>
      <c r="E103">
        <v>2</v>
      </c>
      <c r="F103">
        <v>20.911065530416952</v>
      </c>
      <c r="G103">
        <v>0.06237181</v>
      </c>
      <c r="H103">
        <v>1850</v>
      </c>
      <c r="N103" t="str">
        <f t="shared" si="39"/>
        <v/>
      </c>
      <c r="O103">
        <f t="shared" si="41"/>
        <v>20.911065530416952</v>
      </c>
      <c r="U103">
        <v>145</v>
      </c>
      <c r="V103">
        <v>2534</v>
      </c>
    </row>
    <row r="104">
      <c r="A104" s="3" t="s">
        <v>566</v>
      </c>
      <c r="B104">
        <v>103</v>
      </c>
      <c r="E104">
        <v>1</v>
      </c>
      <c r="F104">
        <v>13.358056799453179</v>
      </c>
      <c r="G104">
        <v>0.057049589999999997</v>
      </c>
      <c r="H104">
        <v>1850</v>
      </c>
      <c r="N104">
        <f t="shared" si="39"/>
        <v>13.358056799453179</v>
      </c>
      <c r="O104" t="str">
        <f t="shared" si="41"/>
        <v/>
      </c>
      <c r="U104">
        <v>145</v>
      </c>
      <c r="V104">
        <v>2534</v>
      </c>
    </row>
    <row r="105">
      <c r="A105" s="3" t="s">
        <v>567</v>
      </c>
      <c r="B105">
        <v>104</v>
      </c>
      <c r="E105">
        <v>1</v>
      </c>
      <c r="F105">
        <v>13.361734113328776</v>
      </c>
      <c r="G105">
        <v>0.031174739999999999</v>
      </c>
      <c r="H105">
        <v>1850</v>
      </c>
      <c r="N105">
        <f t="shared" si="39"/>
        <v>13.361734113328776</v>
      </c>
      <c r="O105" t="str">
        <f t="shared" si="41"/>
        <v/>
      </c>
      <c r="U105">
        <v>145</v>
      </c>
      <c r="V105">
        <v>2534</v>
      </c>
    </row>
    <row r="106">
      <c r="A106" s="3" t="s">
        <v>568</v>
      </c>
      <c r="B106">
        <v>105</v>
      </c>
      <c r="C106" s="4">
        <v>2.1329605638110499e-05</v>
      </c>
      <c r="D106" s="4">
        <f t="shared" ref="D106:D112" si="47">C106/0.000085</f>
        <v>0.25093653691894702</v>
      </c>
      <c r="E106">
        <v>2</v>
      </c>
      <c r="F106">
        <v>16.955703382365002</v>
      </c>
      <c r="G106">
        <v>0.049521460000000003</v>
      </c>
      <c r="H106">
        <v>1850</v>
      </c>
      <c r="N106" t="str">
        <f t="shared" si="39"/>
        <v/>
      </c>
      <c r="O106">
        <f t="shared" si="41"/>
        <v>16.955703382365002</v>
      </c>
      <c r="U106">
        <v>145</v>
      </c>
      <c r="V106">
        <v>2534</v>
      </c>
    </row>
    <row r="107">
      <c r="A107" s="3" t="s">
        <v>569</v>
      </c>
      <c r="B107">
        <v>106</v>
      </c>
      <c r="C107" s="4">
        <v>2.5778610148998599e-05</v>
      </c>
      <c r="D107" s="4">
        <f t="shared" si="47"/>
        <v>0.30327776645880705</v>
      </c>
      <c r="E107">
        <v>2</v>
      </c>
      <c r="F107">
        <v>16.815718696240602</v>
      </c>
      <c r="G107">
        <v>0.056099009999999998</v>
      </c>
      <c r="H107">
        <v>1850</v>
      </c>
      <c r="N107" t="str">
        <f t="shared" si="39"/>
        <v/>
      </c>
      <c r="O107">
        <f t="shared" si="41"/>
        <v>16.815718696240602</v>
      </c>
      <c r="U107">
        <v>145</v>
      </c>
      <c r="V107">
        <v>2534</v>
      </c>
    </row>
    <row r="108">
      <c r="A108" s="3" t="s">
        <v>570</v>
      </c>
      <c r="B108">
        <v>107</v>
      </c>
      <c r="C108" s="4">
        <v>3.3611195457226698e-05</v>
      </c>
      <c r="D108" s="4">
        <f t="shared" si="47"/>
        <v>0.39542582890854938</v>
      </c>
      <c r="E108">
        <v>2</v>
      </c>
      <c r="F108">
        <v>20.654728965276828</v>
      </c>
      <c r="G108">
        <v>0.048714689999999998</v>
      </c>
      <c r="H108">
        <v>1850</v>
      </c>
      <c r="N108" t="str">
        <f t="shared" si="39"/>
        <v/>
      </c>
      <c r="O108">
        <f t="shared" si="41"/>
        <v>20.654728965276828</v>
      </c>
      <c r="U108">
        <v>145</v>
      </c>
      <c r="V108">
        <v>2534</v>
      </c>
    </row>
    <row r="109">
      <c r="A109" s="3" t="s">
        <v>571</v>
      </c>
      <c r="B109">
        <v>108</v>
      </c>
      <c r="C109" s="4">
        <v>3.8974430679097199e-05</v>
      </c>
      <c r="D109" s="4">
        <f t="shared" si="47"/>
        <v>0.45852271387173171</v>
      </c>
      <c r="E109">
        <v>2</v>
      </c>
      <c r="F109">
        <v>19.885284234313055</v>
      </c>
      <c r="G109">
        <v>0.05271269</v>
      </c>
      <c r="H109">
        <v>1850</v>
      </c>
      <c r="N109" t="str">
        <f t="shared" si="39"/>
        <v/>
      </c>
      <c r="O109">
        <f t="shared" si="41"/>
        <v>19.885284234313055</v>
      </c>
      <c r="U109">
        <v>145</v>
      </c>
      <c r="V109">
        <v>2534</v>
      </c>
    </row>
    <row r="110">
      <c r="A110" s="3" t="s">
        <v>572</v>
      </c>
      <c r="B110">
        <v>109</v>
      </c>
      <c r="C110" s="4">
        <v>5.2197707219547798e-05</v>
      </c>
      <c r="D110" s="4">
        <f t="shared" si="47"/>
        <v>0.61409067317115051</v>
      </c>
      <c r="E110">
        <v>2</v>
      </c>
      <c r="F110">
        <v>19.665136548188652</v>
      </c>
      <c r="G110">
        <v>0.054736880000000002</v>
      </c>
      <c r="H110">
        <v>1850</v>
      </c>
      <c r="N110" t="str">
        <f t="shared" si="39"/>
        <v/>
      </c>
      <c r="O110">
        <f t="shared" si="41"/>
        <v>19.665136548188652</v>
      </c>
      <c r="U110">
        <v>145</v>
      </c>
      <c r="V110">
        <v>2534</v>
      </c>
    </row>
    <row r="111">
      <c r="A111" s="3" t="s">
        <v>573</v>
      </c>
      <c r="B111">
        <v>110</v>
      </c>
      <c r="C111" s="4">
        <v>5.9346817340397502e-05</v>
      </c>
      <c r="D111" s="4">
        <f t="shared" si="47"/>
        <v>0.69819785106349996</v>
      </c>
      <c r="E111">
        <v>2</v>
      </c>
      <c r="F111">
        <v>19.416313817224882</v>
      </c>
      <c r="G111">
        <v>0.055393610000000003</v>
      </c>
      <c r="H111">
        <v>1850</v>
      </c>
      <c r="N111" t="str">
        <f t="shared" si="39"/>
        <v/>
      </c>
      <c r="O111">
        <f t="shared" si="41"/>
        <v>19.416313817224882</v>
      </c>
      <c r="U111">
        <v>145</v>
      </c>
      <c r="V111">
        <v>2534</v>
      </c>
    </row>
    <row r="112">
      <c r="A112" s="3" t="s">
        <v>574</v>
      </c>
      <c r="B112">
        <v>111</v>
      </c>
      <c r="C112" s="4">
        <v>7.8971018261382505e-05</v>
      </c>
      <c r="D112" s="4">
        <f t="shared" si="47"/>
        <v>0.92907080307508827</v>
      </c>
      <c r="E112">
        <v>2</v>
      </c>
      <c r="F112">
        <v>19.595693131100479</v>
      </c>
      <c r="G112">
        <v>0.059284749999999997</v>
      </c>
      <c r="H112">
        <v>1850</v>
      </c>
      <c r="N112" t="str">
        <f t="shared" si="39"/>
        <v/>
      </c>
      <c r="O112">
        <f t="shared" si="41"/>
        <v>19.595693131100479</v>
      </c>
      <c r="U112">
        <v>145</v>
      </c>
      <c r="V112">
        <v>2534</v>
      </c>
    </row>
    <row r="113">
      <c r="A113" s="3" t="s">
        <v>575</v>
      </c>
      <c r="B113">
        <v>112</v>
      </c>
      <c r="C113" s="4">
        <v>6.6955709933147193e-05</v>
      </c>
      <c r="D113" s="4">
        <f t="shared" ref="D113:D114" si="48">C113/0.000074</f>
        <v>0.90480689098847566</v>
      </c>
      <c r="E113">
        <v>2</v>
      </c>
      <c r="F113">
        <v>18.315656400136707</v>
      </c>
      <c r="G113">
        <v>0.048817949999999999</v>
      </c>
      <c r="H113">
        <v>1850</v>
      </c>
      <c r="N113" t="str">
        <f t="shared" si="39"/>
        <v/>
      </c>
      <c r="O113">
        <f t="shared" si="41"/>
        <v>18.315656400136707</v>
      </c>
      <c r="U113">
        <v>145</v>
      </c>
      <c r="V113">
        <v>2534</v>
      </c>
    </row>
    <row r="114">
      <c r="A114" s="3" t="s">
        <v>576</v>
      </c>
      <c r="B114">
        <v>113</v>
      </c>
      <c r="C114" s="4">
        <v>4.1258167939515102e-05</v>
      </c>
      <c r="D114" s="4">
        <f t="shared" si="48"/>
        <v>0.5575428099934473</v>
      </c>
      <c r="E114">
        <v>2</v>
      </c>
      <c r="F114">
        <v>21.034970714012303</v>
      </c>
      <c r="G114">
        <v>0.056402260000000003</v>
      </c>
      <c r="H114">
        <v>1850</v>
      </c>
      <c r="N114" t="str">
        <f t="shared" si="39"/>
        <v/>
      </c>
      <c r="O114">
        <f t="shared" si="41"/>
        <v>21.034970714012303</v>
      </c>
      <c r="U114">
        <v>145</v>
      </c>
      <c r="V114">
        <v>2534</v>
      </c>
    </row>
    <row r="115">
      <c r="A115" s="3" t="s">
        <v>577</v>
      </c>
      <c r="B115">
        <v>114</v>
      </c>
      <c r="E115">
        <v>1</v>
      </c>
      <c r="F115">
        <v>12.83457398304853</v>
      </c>
      <c r="G115">
        <v>0.057984330000000001</v>
      </c>
      <c r="H115">
        <v>1850</v>
      </c>
      <c r="N115">
        <f t="shared" si="39"/>
        <v>12.83457398304853</v>
      </c>
      <c r="O115" t="str">
        <f t="shared" si="41"/>
        <v/>
      </c>
      <c r="U115">
        <v>145</v>
      </c>
      <c r="V115">
        <v>2534</v>
      </c>
    </row>
    <row r="116">
      <c r="A116" s="3" t="s">
        <v>578</v>
      </c>
      <c r="B116">
        <v>115</v>
      </c>
      <c r="E116">
        <v>1</v>
      </c>
      <c r="F116">
        <v>13.166952252084759</v>
      </c>
      <c r="G116">
        <v>0.063166459999999994</v>
      </c>
      <c r="H116">
        <v>1850</v>
      </c>
      <c r="N116">
        <f t="shared" si="39"/>
        <v>13.166952252084759</v>
      </c>
      <c r="O116" t="str">
        <f t="shared" si="41"/>
        <v/>
      </c>
      <c r="U116">
        <v>145</v>
      </c>
      <c r="V116">
        <v>2534</v>
      </c>
    </row>
    <row r="117">
      <c r="A117" s="3" t="s">
        <v>579</v>
      </c>
      <c r="B117">
        <v>116</v>
      </c>
      <c r="E117">
        <v>1</v>
      </c>
      <c r="F117">
        <v>13.728067565960355</v>
      </c>
      <c r="G117">
        <v>0.056508610000000001</v>
      </c>
      <c r="H117">
        <v>1850</v>
      </c>
      <c r="N117">
        <f t="shared" si="39"/>
        <v>13.728067565960355</v>
      </c>
      <c r="O117" t="str">
        <f t="shared" si="41"/>
        <v/>
      </c>
      <c r="U117">
        <v>145</v>
      </c>
      <c r="V117">
        <v>2534</v>
      </c>
    </row>
    <row r="118">
      <c r="A118" s="3" t="s">
        <v>580</v>
      </c>
      <c r="B118">
        <v>117</v>
      </c>
      <c r="C118" s="4">
        <v>3.5684454453999998e-05</v>
      </c>
      <c r="D118" s="4">
        <f t="shared" ref="D118:D120" si="49">C118/0.00005122</f>
        <v>0.69668985657946114</v>
      </c>
      <c r="E118">
        <v>2</v>
      </c>
      <c r="F118">
        <v>14.114175834996583</v>
      </c>
      <c r="G118">
        <v>0.040913280000000003</v>
      </c>
      <c r="H118">
        <v>1850</v>
      </c>
      <c r="N118" t="str">
        <f t="shared" si="39"/>
        <v/>
      </c>
      <c r="O118">
        <f t="shared" si="41"/>
        <v>14.114175834996583</v>
      </c>
      <c r="U118">
        <v>145</v>
      </c>
      <c r="V118">
        <v>2534</v>
      </c>
    </row>
    <row r="119">
      <c r="A119" s="3" t="s">
        <v>581</v>
      </c>
      <c r="B119">
        <v>118</v>
      </c>
      <c r="C119" s="4">
        <v>4.8841215697699999e-05</v>
      </c>
      <c r="D119" s="4">
        <f t="shared" si="49"/>
        <v>0.95355751069308858</v>
      </c>
      <c r="E119">
        <v>2</v>
      </c>
      <c r="F119">
        <v>14.32566914887218</v>
      </c>
      <c r="G119">
        <v>0.050081489999999999</v>
      </c>
      <c r="H119">
        <v>1850</v>
      </c>
      <c r="N119" t="str">
        <f t="shared" si="39"/>
        <v/>
      </c>
      <c r="O119">
        <f t="shared" si="41"/>
        <v>14.32566914887218</v>
      </c>
      <c r="U119">
        <v>145</v>
      </c>
      <c r="V119">
        <v>2534</v>
      </c>
    </row>
    <row r="120">
      <c r="A120" s="3" t="s">
        <v>582</v>
      </c>
      <c r="B120">
        <v>119</v>
      </c>
      <c r="C120" s="4">
        <v>2.5454657845000002e-05</v>
      </c>
      <c r="D120" s="4">
        <f t="shared" si="49"/>
        <v>0.4969671582389692</v>
      </c>
      <c r="E120">
        <v>2</v>
      </c>
      <c r="F120">
        <v>17.320442417908406</v>
      </c>
      <c r="G120">
        <v>0.053060309999999999</v>
      </c>
      <c r="H120">
        <v>1850</v>
      </c>
      <c r="N120" t="str">
        <f t="shared" si="39"/>
        <v/>
      </c>
      <c r="O120">
        <f t="shared" si="41"/>
        <v>17.320442417908406</v>
      </c>
      <c r="U120">
        <v>145</v>
      </c>
      <c r="V120">
        <v>2534</v>
      </c>
    </row>
    <row r="121">
      <c r="A121" s="3" t="s">
        <v>583</v>
      </c>
      <c r="B121">
        <v>120</v>
      </c>
      <c r="E121">
        <v>1</v>
      </c>
      <c r="F121">
        <v>11.423317686944635</v>
      </c>
      <c r="G121">
        <v>0.047377780000000001</v>
      </c>
      <c r="H121">
        <v>1850</v>
      </c>
      <c r="N121">
        <f t="shared" si="39"/>
        <v>11.423317686944635</v>
      </c>
      <c r="O121" t="str">
        <f t="shared" si="41"/>
        <v/>
      </c>
      <c r="U121">
        <v>145</v>
      </c>
      <c r="V121">
        <v>2534</v>
      </c>
    </row>
    <row r="122">
      <c r="A122" s="3" t="s">
        <v>584</v>
      </c>
      <c r="B122">
        <v>121</v>
      </c>
      <c r="E122">
        <v>1</v>
      </c>
      <c r="F122">
        <v>11.460670000820233</v>
      </c>
      <c r="G122">
        <v>0.057597530000000001</v>
      </c>
      <c r="H122">
        <v>1850</v>
      </c>
      <c r="N122">
        <f t="shared" si="39"/>
        <v>11.460670000820233</v>
      </c>
      <c r="O122" t="str">
        <f t="shared" si="41"/>
        <v/>
      </c>
      <c r="U122">
        <v>145</v>
      </c>
      <c r="V122">
        <v>2534</v>
      </c>
    </row>
  </sheetData>
  <hyperlinks>
    <hyperlink r:id="rId1" ref="A2"/>
    <hyperlink r:id="rId1" ref="A3:A122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onlyoffice/7.5.1.23</Application>
  <Company>UL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Anonymous</cp:lastModifiedBy>
  <cp:revision>1</cp:revision>
  <dcterms:created xsi:type="dcterms:W3CDTF">2020-06-29T14:45:35Z</dcterms:created>
  <dcterms:modified xsi:type="dcterms:W3CDTF">2024-03-12T10:56:28Z</dcterms:modified>
</cp:coreProperties>
</file>