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satt_be\Desktop\gefundene Paper etc\Review\"/>
    </mc:Choice>
  </mc:AlternateContent>
  <xr:revisionPtr revIDLastSave="0" documentId="13_ncr:1_{E5ACC553-6000-4EBD-9A2B-E5B3534DC81C}" xr6:coauthVersionLast="36" xr6:coauthVersionMax="36" xr10:uidLastSave="{00000000-0000-0000-0000-000000000000}"/>
  <bookViews>
    <workbookView xWindow="0" yWindow="0" windowWidth="12800" windowHeight="6930" activeTab="1" xr2:uid="{27D976B2-3A0F-44E3-AD1A-478FA5D8B783}"/>
  </bookViews>
  <sheets>
    <sheet name="READ ME" sheetId="12" r:id="rId1"/>
    <sheet name="Scopus" sheetId="8" r:id="rId2"/>
    <sheet name="Web of Science" sheetId="6" r:id="rId3"/>
    <sheet name="Other Sources" sheetId="5" r:id="rId4"/>
    <sheet name="Quantitative Analysis" sheetId="4" r:id="rId5"/>
    <sheet name="Aggregation" sheetId="9" r:id="rId6"/>
  </sheets>
  <definedNames>
    <definedName name="ExterneDaten_1" localSheetId="1" hidden="1">Scopus!$C$1:$AH$131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4" l="1"/>
  <c r="E17" i="4"/>
  <c r="D16" i="4"/>
  <c r="A11" i="6" l="1"/>
  <c r="A64" i="6" l="1"/>
  <c r="A71" i="6"/>
  <c r="A118" i="6"/>
  <c r="A13" i="6"/>
  <c r="A26" i="6"/>
  <c r="A124" i="6"/>
  <c r="A97" i="6"/>
  <c r="A65" i="6"/>
  <c r="A51" i="6"/>
  <c r="A29" i="6"/>
  <c r="A62" i="6"/>
  <c r="A100" i="6"/>
  <c r="A130" i="6"/>
  <c r="A7" i="6"/>
  <c r="A84" i="6"/>
  <c r="A8" i="6"/>
  <c r="A41" i="6"/>
  <c r="A79" i="6"/>
  <c r="A18" i="6"/>
  <c r="A99" i="6"/>
  <c r="A68" i="6"/>
  <c r="A56" i="6"/>
  <c r="A109" i="6"/>
  <c r="A9" i="6"/>
  <c r="A66" i="6"/>
  <c r="A40" i="6"/>
  <c r="A12" i="6"/>
  <c r="A14" i="6"/>
  <c r="A107" i="6"/>
  <c r="A16" i="6"/>
  <c r="A50" i="6"/>
  <c r="A25" i="6"/>
  <c r="A92" i="6"/>
  <c r="A22" i="6"/>
  <c r="A28" i="6"/>
  <c r="A31" i="6"/>
  <c r="A33" i="6"/>
  <c r="A34" i="6"/>
  <c r="A21" i="6"/>
  <c r="A4" i="6"/>
  <c r="A115" i="6"/>
  <c r="A35" i="6"/>
  <c r="A36" i="6"/>
  <c r="A89" i="6"/>
  <c r="A70" i="6"/>
  <c r="A112" i="6"/>
  <c r="A98" i="6"/>
  <c r="A3" i="6"/>
  <c r="A44" i="6"/>
  <c r="A45" i="6"/>
  <c r="A47" i="6"/>
  <c r="A32" i="6"/>
  <c r="A57" i="6"/>
  <c r="A49" i="6"/>
  <c r="A48" i="6"/>
  <c r="A52" i="6"/>
  <c r="A58" i="6"/>
  <c r="A27" i="6"/>
  <c r="A60" i="6"/>
  <c r="A38" i="6"/>
  <c r="A10" i="6"/>
  <c r="A39" i="6"/>
  <c r="A43" i="6"/>
  <c r="A61" i="6"/>
  <c r="A125" i="6"/>
  <c r="A81" i="6"/>
  <c r="A59" i="6"/>
  <c r="A17" i="6"/>
  <c r="A15" i="6"/>
  <c r="A63" i="6"/>
  <c r="A67" i="6"/>
  <c r="A73" i="6"/>
  <c r="A113" i="6"/>
  <c r="A37" i="6"/>
  <c r="A74" i="6"/>
  <c r="A55" i="6"/>
  <c r="A69" i="6"/>
  <c r="A75" i="6"/>
  <c r="A127" i="6"/>
  <c r="A76" i="6"/>
  <c r="A54" i="6"/>
  <c r="A30" i="6"/>
  <c r="A77" i="6"/>
  <c r="A80" i="6"/>
  <c r="A82" i="6"/>
  <c r="A83" i="6"/>
  <c r="A42" i="6"/>
  <c r="A72" i="6"/>
  <c r="A85" i="6"/>
  <c r="A6" i="6"/>
  <c r="A131" i="6"/>
  <c r="A86" i="6"/>
  <c r="A87" i="6"/>
  <c r="A5" i="6"/>
  <c r="A90" i="6"/>
  <c r="A91" i="6"/>
  <c r="A46" i="6"/>
  <c r="A93" i="6"/>
  <c r="A95" i="6"/>
  <c r="A94" i="6"/>
  <c r="A96" i="6"/>
  <c r="A101" i="6"/>
  <c r="A24" i="6"/>
  <c r="A103" i="6"/>
  <c r="A104" i="6"/>
  <c r="A53" i="6"/>
  <c r="A105" i="6"/>
  <c r="A106" i="6"/>
  <c r="A78" i="6"/>
  <c r="A108" i="6"/>
  <c r="A110" i="6"/>
  <c r="A111" i="6"/>
  <c r="A114" i="6"/>
  <c r="A116" i="6"/>
  <c r="A117" i="6"/>
  <c r="A102" i="6"/>
  <c r="A19" i="6"/>
  <c r="A121" i="6"/>
  <c r="A20" i="6"/>
  <c r="A119" i="6"/>
  <c r="A120" i="6"/>
  <c r="A122" i="6"/>
  <c r="A123" i="6"/>
  <c r="A23" i="6"/>
  <c r="A126" i="6"/>
  <c r="A88" i="6"/>
  <c r="A2" i="6"/>
  <c r="A128" i="6"/>
  <c r="A129" i="6"/>
  <c r="A132" i="6"/>
  <c r="D17" i="4" l="1"/>
  <c r="D15" i="4"/>
  <c r="D14" i="4"/>
  <c r="D13" i="4"/>
  <c r="D12" i="4"/>
  <c r="D11" i="4"/>
  <c r="D9" i="4"/>
  <c r="D7" i="4"/>
  <c r="D5" i="4"/>
  <c r="D4" i="4"/>
  <c r="D3" i="4"/>
  <c r="D2" i="4"/>
  <c r="C16" i="4" l="1"/>
  <c r="F16" i="4" s="1"/>
  <c r="C7" i="4"/>
  <c r="C5" i="4"/>
  <c r="C17" i="4"/>
  <c r="C15" i="4"/>
  <c r="C4" i="4"/>
  <c r="C14" i="4"/>
  <c r="C3" i="4"/>
  <c r="C13" i="4"/>
  <c r="C2" i="4"/>
  <c r="C12" i="4"/>
  <c r="C9" i="4"/>
  <c r="C11" i="4"/>
  <c r="BW116" i="6" l="1"/>
  <c r="BW67" i="6"/>
  <c r="BI67" i="6"/>
  <c r="BW34" i="6"/>
  <c r="BI34" i="6"/>
  <c r="BW2" i="6"/>
  <c r="BW88" i="6"/>
  <c r="BI88" i="6"/>
  <c r="BW82" i="6"/>
  <c r="BW23" i="6"/>
  <c r="BI23" i="6"/>
  <c r="BW83" i="6"/>
  <c r="BI83" i="6"/>
  <c r="BW122" i="6"/>
  <c r="BI122" i="6"/>
  <c r="BW93" i="6"/>
  <c r="BW114" i="6"/>
  <c r="BI114" i="6"/>
  <c r="BW20" i="6"/>
  <c r="BI20" i="6"/>
  <c r="BW121" i="6"/>
  <c r="BI121" i="6"/>
  <c r="BW19" i="6"/>
  <c r="BI19" i="6"/>
  <c r="BW102" i="6"/>
  <c r="BW44" i="6"/>
  <c r="BI44" i="6"/>
  <c r="BW63" i="6"/>
  <c r="BW128" i="6"/>
  <c r="BI128" i="6"/>
  <c r="BW35" i="6"/>
  <c r="BI35" i="6"/>
  <c r="BW91" i="6"/>
  <c r="BI91" i="6"/>
  <c r="BW11" i="6"/>
  <c r="BI11" i="6"/>
  <c r="BW78" i="6"/>
  <c r="BW73" i="6"/>
  <c r="BI73" i="6"/>
  <c r="BW90" i="6"/>
  <c r="BI90" i="6"/>
  <c r="BW53" i="6"/>
  <c r="BI53" i="6"/>
  <c r="BW60" i="6"/>
  <c r="BW129" i="6"/>
  <c r="BI129" i="6"/>
  <c r="BW24" i="6"/>
  <c r="BI24" i="6"/>
  <c r="BW8" i="6"/>
  <c r="BI8" i="6"/>
  <c r="BW76" i="6"/>
  <c r="BI76" i="6"/>
  <c r="BW94" i="6"/>
  <c r="BI94" i="6"/>
  <c r="BW77" i="6"/>
  <c r="BW61" i="6"/>
  <c r="BI61" i="6"/>
  <c r="BW46" i="6"/>
  <c r="BI46" i="6"/>
  <c r="BW14" i="6"/>
  <c r="BI14" i="6"/>
  <c r="BW111" i="6"/>
  <c r="BI111" i="6"/>
  <c r="BW5" i="6"/>
  <c r="BW52" i="6"/>
  <c r="BI52" i="6"/>
  <c r="BW75" i="6"/>
  <c r="BI75" i="6"/>
  <c r="BW131" i="6"/>
  <c r="BI131" i="6"/>
  <c r="BW6" i="6"/>
  <c r="BI6" i="6"/>
  <c r="BW96" i="6"/>
  <c r="BI96" i="6"/>
  <c r="BW72" i="6"/>
  <c r="BI72" i="6"/>
  <c r="BW42" i="6"/>
  <c r="BI42" i="6"/>
  <c r="BW74" i="6"/>
  <c r="BI74" i="6"/>
  <c r="BW110" i="6"/>
  <c r="BI110" i="6"/>
  <c r="BW108" i="6"/>
  <c r="BI108" i="6"/>
  <c r="BW87" i="6"/>
  <c r="BI87" i="6"/>
  <c r="BW30" i="6"/>
  <c r="BI30" i="6"/>
  <c r="BW54" i="6"/>
  <c r="BI54" i="6"/>
  <c r="BW31" i="6"/>
  <c r="BI31" i="6"/>
  <c r="BW127" i="6"/>
  <c r="BI127" i="6"/>
  <c r="BW7" i="6"/>
  <c r="BI7" i="6"/>
  <c r="BW69" i="6"/>
  <c r="BI69" i="6"/>
  <c r="BW55" i="6"/>
  <c r="BI55" i="6"/>
  <c r="BW86" i="6"/>
  <c r="BI86" i="6"/>
  <c r="BW37" i="6"/>
  <c r="BW113" i="6"/>
  <c r="BI113" i="6"/>
  <c r="BW123" i="6"/>
  <c r="BI123" i="6"/>
  <c r="BW120" i="6"/>
  <c r="BI120" i="6"/>
  <c r="BW85" i="6"/>
  <c r="BI85" i="6"/>
  <c r="BW15" i="6"/>
  <c r="BI15" i="6"/>
  <c r="BW17" i="6"/>
  <c r="BI17" i="6"/>
  <c r="BW59" i="6"/>
  <c r="BI59" i="6"/>
  <c r="BW81" i="6"/>
  <c r="BI81" i="6"/>
  <c r="BW125" i="6"/>
  <c r="BI125" i="6"/>
  <c r="BW126" i="6"/>
  <c r="BI126" i="6"/>
  <c r="BW43" i="6"/>
  <c r="BI43" i="6"/>
  <c r="BW39" i="6"/>
  <c r="BI39" i="6"/>
  <c r="BW10" i="6"/>
  <c r="BI10" i="6"/>
  <c r="BW38" i="6"/>
  <c r="BW80" i="6"/>
  <c r="BI80" i="6"/>
  <c r="BW27" i="6"/>
  <c r="BI27" i="6"/>
  <c r="BW58" i="6"/>
  <c r="BI58" i="6"/>
  <c r="BW132" i="6"/>
  <c r="BI132" i="6"/>
  <c r="BW33" i="6"/>
  <c r="BI33" i="6"/>
  <c r="BW49" i="6"/>
  <c r="BI49" i="6"/>
  <c r="BW57" i="6"/>
  <c r="BI57" i="6"/>
  <c r="BW32" i="6"/>
  <c r="BW106" i="6"/>
  <c r="BI106" i="6"/>
  <c r="BW12" i="6"/>
  <c r="BI12" i="6"/>
  <c r="BW117" i="6"/>
  <c r="BI117" i="6"/>
  <c r="BW3" i="6"/>
  <c r="BW98" i="6"/>
  <c r="BI98" i="6"/>
  <c r="BW112" i="6"/>
  <c r="BW70" i="6"/>
  <c r="BI70" i="6"/>
  <c r="BW89" i="6"/>
  <c r="BI89" i="6"/>
  <c r="BW48" i="6"/>
  <c r="BI48" i="6"/>
  <c r="BW101" i="6"/>
  <c r="BW115" i="6"/>
  <c r="BI115" i="6"/>
  <c r="BW4" i="6"/>
  <c r="BI4" i="6"/>
  <c r="BW21" i="6"/>
  <c r="BI21" i="6"/>
  <c r="BW119" i="6"/>
  <c r="BI119" i="6"/>
  <c r="BW45" i="6"/>
  <c r="BW103" i="6"/>
  <c r="BI103" i="6"/>
  <c r="BW104" i="6"/>
  <c r="BI104" i="6"/>
  <c r="BW22" i="6"/>
  <c r="BI22" i="6"/>
  <c r="BW92" i="6"/>
  <c r="BW25" i="6"/>
  <c r="BI25" i="6"/>
  <c r="BW50" i="6"/>
  <c r="BI50" i="6"/>
  <c r="BW16" i="6"/>
  <c r="BI16" i="6"/>
  <c r="BW107" i="6"/>
  <c r="BI107" i="6"/>
  <c r="BW105" i="6"/>
  <c r="BI105" i="6"/>
  <c r="BW28" i="6"/>
  <c r="BW40" i="6"/>
  <c r="BW66" i="6"/>
  <c r="BI66" i="6"/>
  <c r="BW9" i="6"/>
  <c r="BI9" i="6"/>
  <c r="BW109" i="6"/>
  <c r="BI109" i="6"/>
  <c r="BW95" i="6"/>
  <c r="BI95" i="6"/>
  <c r="BW56" i="6"/>
  <c r="BI56" i="6"/>
  <c r="BW68" i="6"/>
  <c r="BI68" i="6"/>
  <c r="BW99" i="6"/>
  <c r="BI99" i="6"/>
  <c r="BW18" i="6"/>
  <c r="BI18" i="6"/>
  <c r="BW79" i="6"/>
  <c r="BI79" i="6"/>
  <c r="BW41" i="6"/>
  <c r="BI41" i="6"/>
  <c r="BW36" i="6"/>
  <c r="BW84" i="6"/>
  <c r="BI84" i="6"/>
  <c r="BW47" i="6"/>
  <c r="BW130" i="6"/>
  <c r="BI130" i="6"/>
  <c r="BW100" i="6"/>
  <c r="BI100" i="6"/>
  <c r="BW62" i="6"/>
  <c r="BI62" i="6"/>
  <c r="BW29" i="6"/>
  <c r="BI29" i="6"/>
  <c r="BW51" i="6"/>
  <c r="BI51" i="6"/>
  <c r="BW65" i="6"/>
  <c r="BI65" i="6"/>
  <c r="BW97" i="6"/>
  <c r="BW124" i="6"/>
  <c r="BI124" i="6"/>
  <c r="BW26" i="6"/>
  <c r="BI26" i="6"/>
  <c r="BW13" i="6"/>
  <c r="BI13" i="6"/>
  <c r="BW118" i="6"/>
  <c r="BI118" i="6"/>
  <c r="BW71" i="6"/>
  <c r="BI71" i="6"/>
  <c r="BW64" i="6"/>
  <c r="BI64" i="6"/>
  <c r="E4" i="4" l="1"/>
  <c r="E5" i="4"/>
  <c r="E7" i="4"/>
  <c r="E9" i="4"/>
  <c r="E11" i="4"/>
  <c r="E12" i="4"/>
  <c r="E13" i="4"/>
  <c r="E14" i="4"/>
  <c r="E15" i="4"/>
  <c r="E2" i="4"/>
  <c r="E3" i="4"/>
  <c r="E6" i="4" l="1"/>
  <c r="E8" i="4" s="1"/>
  <c r="E10" i="4" s="1"/>
  <c r="F4" i="4"/>
  <c r="F2" i="4" l="1"/>
  <c r="F13" i="4"/>
  <c r="F3" i="4"/>
  <c r="F14" i="4"/>
  <c r="F7" i="4"/>
  <c r="F15" i="4"/>
  <c r="F5" i="4"/>
  <c r="F11" i="4"/>
  <c r="F12" i="4"/>
  <c r="F9" i="4"/>
  <c r="F17" i="4"/>
  <c r="C6" i="4"/>
  <c r="D6" i="4"/>
  <c r="F6" i="4" l="1"/>
  <c r="C8" i="4"/>
  <c r="D8" i="4"/>
  <c r="D10" i="4" s="1"/>
  <c r="C10" i="4" l="1"/>
  <c r="F8" i="4"/>
  <c r="F10" i="4"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15AA539-5120-44C8-B303-74F0F6938F72}" keepAlive="1" name="Abfrage - savedrecs" description="Verbindung mit der Abfrage 'savedrecs' in der Arbeitsmappe." type="5" refreshedVersion="6" background="1" saveData="1">
    <dbPr connection="Provider=Microsoft.Mashup.OleDb.1;Data Source=$Workbook$;Location=savedrecs;Extended Properties=&quot;&quot;" command="SELECT * FROM [savedrecs]"/>
  </connection>
  <connection id="2" xr16:uid="{F2C00A90-6F76-4BC6-8206-858B833E7F83}" keepAlive="1" name="Abfrage - scopus" description="Verbindung mit der Abfrage 'scopus' in der Arbeitsmappe." type="5" refreshedVersion="6" background="1" saveData="1">
    <dbPr connection="Provider=Microsoft.Mashup.OleDb.1;Data Source=$Workbook$;Location=scopus;Extended Properties=&quot;&quot;" command="SELECT * FROM [scopus]"/>
  </connection>
  <connection id="3" xr16:uid="{576B74EE-1C8B-428C-B952-0E3E1DAA304C}" keepAlive="1" name="Abfrage - scopus04072022 (2)" description="Verbindung mit der Abfrage 'scopus04072022 (2)' in der Arbeitsmappe." type="5" refreshedVersion="6" background="1" saveData="1">
    <dbPr connection="Provider=Microsoft.Mashup.OleDb.1;Data Source=$Workbook$;Location=&quot;scopus04072022 (2)&quot;;Extended Properties=&quot;&quot;" command="SELECT * FROM [scopus04072022 (2)]"/>
  </connection>
</connections>
</file>

<file path=xl/sharedStrings.xml><?xml version="1.0" encoding="utf-8"?>
<sst xmlns="http://schemas.openxmlformats.org/spreadsheetml/2006/main" count="12166" uniqueCount="4554">
  <si>
    <t>Authors</t>
  </si>
  <si>
    <t>Author(s) ID</t>
  </si>
  <si>
    <t>Title</t>
  </si>
  <si>
    <t>Year</t>
  </si>
  <si>
    <t>Source title</t>
  </si>
  <si>
    <t>Volume</t>
  </si>
  <si>
    <t>Issue</t>
  </si>
  <si>
    <t>Art. No.</t>
  </si>
  <si>
    <t>Page start</t>
  </si>
  <si>
    <t>Page end</t>
  </si>
  <si>
    <t>Page count</t>
  </si>
  <si>
    <t>Cited by</t>
  </si>
  <si>
    <t>DOI</t>
  </si>
  <si>
    <t>Link</t>
  </si>
  <si>
    <t>Affiliations</t>
  </si>
  <si>
    <t>Abstract</t>
  </si>
  <si>
    <t>Author Keywords</t>
  </si>
  <si>
    <t>Index Keywords</t>
  </si>
  <si>
    <t>Document Type</t>
  </si>
  <si>
    <t>Publication Stage</t>
  </si>
  <si>
    <t>Open Access</t>
  </si>
  <si>
    <t>Source</t>
  </si>
  <si>
    <t>EID</t>
  </si>
  <si>
    <t>Zhang Y., Zhen J., Lu W., Liu C., Zhang J., Feng H., Xie Y., Guo H.</t>
  </si>
  <si>
    <t>57216994567;56177588900;56608395400;57491092600;57214123190;57491232300;55710310500;57226785943;</t>
  </si>
  <si>
    <t>Macroscopic-microscopic coupled water-energy nexus simulation and behavior optimization under uncertainty</t>
  </si>
  <si>
    <t>Ecological Engineering</t>
  </si>
  <si>
    <t>179</t>
  </si>
  <si>
    <t/>
  </si>
  <si>
    <t>106613</t>
  </si>
  <si>
    <t>10.1016/j.ecoleng.2022.106613</t>
  </si>
  <si>
    <t>https://www.scopus.com/inward/record.uri?eid=2-s2.0-85126522208&amp;doi=10.1016%2fj.ecoleng.2022.106613&amp;partnerID=40&amp;md5=67698cd83acf3d93dd74bf0e1a1c0699</t>
  </si>
  <si>
    <t>Investigating the nexus of water and energy is important for understanding their complex interrelationships and promoting sustainable development. This study used a complex adaptive system model to explore the interaction mechanism of the water–energy nexus at the regional scale and generate behavior-optimization schemes for industries and individuals under uncertainty. This model was integrated with a system dynamics model and an agent-based model, as well as a fuzzy optimization approach that considered uncertainty in agents' behavior. A novel index of the water–energy nexus was constructed to express its characteristics. This framework was applied to Tianjin, China, to evaluate water–energy outputs considering the interaction between micro- and macrolevel systems. The results revealed the following: 1) Water and energy consumption showed a slowly increasing trend, whereby energy and water consumption will reach, respectively, 29.66 × 108 m3 and 101.80 × 106 tons of coal equivalent (tce) by 2030. 2) A low degree of satisfaction among agents will lead to larger amounts of water-related energy and energy-related water from household use and efficiency investment by enterprise. A high degree of satisfaction is key to achieving high energy-related water-consumption intensity in the early stage; that dominance will turn into a low degree of satisfaction in the late stage. 3) Aggressive behavior and willingness among agents will have a greater effect on the water–energy nexus in the early stage. Conservative behavior, meanwhile, will have considerable potential to control the development of the water–energy nexus in the future. © 2022</t>
  </si>
  <si>
    <t>Agent-based model; Fuzzy optimization; System dynamics; Water–energy nexus</t>
  </si>
  <si>
    <t>Article</t>
  </si>
  <si>
    <t>Final</t>
  </si>
  <si>
    <t>Scopus</t>
  </si>
  <si>
    <t>2-s2.0-85126522208</t>
  </si>
  <si>
    <t>Guo N., Shi C., Yan M., Gao X., Wu F.</t>
  </si>
  <si>
    <t>Modeling agricultural water-saving compensation policy: An ABM approach and application</t>
  </si>
  <si>
    <t>Journal of Cleaner Production</t>
  </si>
  <si>
    <t>344</t>
  </si>
  <si>
    <t>131035</t>
  </si>
  <si>
    <t>10.1016/j.jclepro.2022.131035</t>
  </si>
  <si>
    <t>https://www.scopus.com/inward/record.uri?eid=2-s2.0-85125507311&amp;doi=10.1016%2fj.jclepro.2022.131035&amp;partnerID=40&amp;md5=76531ba5c4a8d270d6903c760f2ebcfd</t>
  </si>
  <si>
    <t>With the increasing conflict between water availability and demand on a global scale, regulating water user behavior from the bottom-up perspective has gained attention from both water managers and researchers. This paper presents an agent-based model (ABM) to simulate the farmer behavior under changing physical and institutional environments in a case study of Miyun Reservoir watershed, China. The ABM model simulates the complex adaptive systems of agricultural water users under an agricultural water-saving compensation policy. The model we developed in this study characterizes agents' sensitivity, learning capability, and information radius, which impacts agricultural income and water consumption of a household. By applying this model to a local ‘paddy to dryland’ subsidy policy program aiming at reshaping the agricultural water-saving behavior, the results show that this policy program reduces agricultural water consumption while also reducing household agricultural income. The policy depends on administrative intervention and financial subsidies at first to ensure compliance and gradually shape household behavior in the long run. And we also propose a suitable subsidy range of 250–350 yuan for this policy program in the long run. The model we built can help to understand agricultural water use adaptation to both anthropogenic and environmental interventions. This research also contributes to the coupled natural and human systems study with the bottom-up agent-based model, and the empirical case study provides solid policy implications for the agricultural water use allocation and adaptative management at the watershed scale. © 2022 Elsevier Ltd</t>
  </si>
  <si>
    <t>ABM; Agricultural water user; ODD protocol; Policy assessment</t>
  </si>
  <si>
    <t>Agriculture; Behavioral research; Computational methods; Public policy; Reservoirs (water); Simulation platform; Water conservation; Watersheds; Agent-based model; Agricultural water; Agricultural water use; Agricultural water user; Bottom up; ODD protocol; Policy assessment; Water consumption; Water users; Water-saving; Autonomous agents</t>
  </si>
  <si>
    <t>2-s2.0-85125507311</t>
  </si>
  <si>
    <t>Li L., Wang J., Zhong X., Lin J., Wu N., Zhang Z., Meng C., Wang X., Shah N., Brandon N., Xie S., Zhao Y.</t>
  </si>
  <si>
    <t>Combined multi-objective optimization and agent-based modeling for a 100% renewable island energy system considering power-to-gas technology and extreme weather conditions</t>
  </si>
  <si>
    <t>Applied Energy</t>
  </si>
  <si>
    <t>308</t>
  </si>
  <si>
    <t>118376</t>
  </si>
  <si>
    <t>10.1016/j.apenergy.2021.118376</t>
  </si>
  <si>
    <t>https://www.scopus.com/inward/record.uri?eid=2-s2.0-85121355779&amp;doi=10.1016%2fj.apenergy.2021.118376&amp;partnerID=40&amp;md5=00b54f96815281686ccb832ffbbcbbe2</t>
  </si>
  <si>
    <t>Islands are constrained by geographical conditions in terms of energy delivery. Due to weak connections with the mainland and the power grid, the diversity of island energy demand leads to high economic costs and environmental pollution issues. This study proposes a 100% renewable island energy system, which integrates with power-to-gas, combined cooling, heating and power, and desalination technologies to supply electricity, heating, cooling, gas and fresh water to the local residents. A comprehensive approach for energy demand prediction, system design and dispatch optimization, as well as system evaluation is proposed. For energy demand prediction, agent-based modeling is used to simulate the demand of electricity, heating, cooling, gas and fresh water for the case study community on the island. The k-means clustering and scenario tree are further adopted to generate representative stochastic scenarios, which are applied to capture the uncertainty of energy demand. A multi-objective optimization model is developed to optimize the system design and scheduling strategy simultaneously. In order to demonstrate the effectiveness of the proposed approach and to evaluate the obtained optimal solutions for the case study, different objectives and extreme weather conditions are specifically considered. The optimal solution obtained shows that compared to battery storage, a 2.5% annual cost reduction can be achieved by using power-to-gas technology for energy storage. The findings also suggest that extreme weather conditions can be coped with by increasing the capacity of biogas generation, desalination, and energy storage equipment, thereby improving the resilience of the island energy system. © 2021</t>
  </si>
  <si>
    <t>Agent-based modeling; Extreme weather conditions; Island energy system; Multi-objective optimization; Power-to-gas</t>
  </si>
  <si>
    <t>3D modeling; Autonomous agents; Computational methods; Cooling; Cost reduction; Desalination; Economic analysis; Electric energy storage; Electric power transmission networks; Energy management; Gases; Heat storage; K-means clustering; Machine learning; Optimal systems; Petroleum reservoir evaluation; Simulation platform; Stochastic systems; Systems analysis; Agent-based model; Cooling gas; Energy demands; Energy systems; Extreme weather conditions; Gas technologies; Island energy system; Multi-objectives optimization; Power; Power-to-gas; Multiobjective optimization; alternative energy; extreme event; numerical model; optimization; technological change; weather</t>
  </si>
  <si>
    <t>2-s2.0-85121355779</t>
  </si>
  <si>
    <t>James R., Rosenberg D.E.</t>
  </si>
  <si>
    <t>57207048804;8577634300;</t>
  </si>
  <si>
    <t>Agent-Based Model to Manage Household Water Use Through Social-Environmental Strategies of Encouragement and Peer Pressure</t>
  </si>
  <si>
    <t>Earth's Future</t>
  </si>
  <si>
    <t>10</t>
  </si>
  <si>
    <t>2</t>
  </si>
  <si>
    <t>e2020EF001883</t>
  </si>
  <si>
    <t>10.1029/2020EF001883</t>
  </si>
  <si>
    <t>https://www.scopus.com/inward/record.uri?eid=2-s2.0-85125134186&amp;doi=10.1029%2f2020EF001883&amp;partnerID=40&amp;md5=f0789a1349dfb8de7e58c68afb54b8b2</t>
  </si>
  <si>
    <t>Water conservation has long been an effective component of sustainable water management. However, inelastic price responses, demand hardening, and poor public awareness reduce the effectiveness of strategies. Here, we identify and quantify the effects of psychological and social factors such as attitudes, peer support, opportunities to conserve, and encouragement on household water use. We link household survey, municipal billing, aerial imagery, weather, and appliance flow and duration data. We use the data to develop, populate, and partially validate an agent-based model for 270 households in Logan, Utah. Simulated indoor water use matched observed use better than outdoor use and improved over prior studies that only conceptually validated model results. Households with stronger conservation attitudes, peer support, and more opportunities saved the most water. Peer pressure saved more water than water manager encouragement because small, diverse social networks could better regulate the behavior of outlier households within the network. Combining peer pressure and encouragement saved the most water. Results suggest managers should provide platforms for households to share their water use stories and information with each other. Managers should target conservation actions to the small fraction of households who use the most water and have large potential to save water. Mangers can use the psychological and social factors to increase household adoption of water conservation actions. © 2022 The Authors. Earth's Future published by Wiley Periodicals LLC on behalf of American Geophysical Union.</t>
  </si>
  <si>
    <t>agent-based model; attitudes; encouragement; opportunities; peer pressure; water use</t>
  </si>
  <si>
    <t>action plan; household survey; model validation; price dynamics; public attitude; strategic approach; water management; water use; Logan; United States; Utah</t>
  </si>
  <si>
    <t>2-s2.0-85125134186</t>
  </si>
  <si>
    <t>Hemmati M., Mahmoud H.N., Ellingwood B.R., Crooks A.T.</t>
  </si>
  <si>
    <t>57188853475;57203233754;7006160805;25521036800;</t>
  </si>
  <si>
    <t>Unraveling the complexity of human behavior and urbanization on community vulnerability to floods</t>
  </si>
  <si>
    <t>Scientific Reports</t>
  </si>
  <si>
    <t>11</t>
  </si>
  <si>
    <t>1</t>
  </si>
  <si>
    <t>20085</t>
  </si>
  <si>
    <t>10.1038/s41598-021-99587-0</t>
  </si>
  <si>
    <t>https://www.scopus.com/inward/record.uri?eid=2-s2.0-85116777276&amp;doi=10.1038%2fs41598-021-99587-0&amp;partnerID=40&amp;md5=6f6834db7f64166cfc98c77593e39f5b</t>
  </si>
  <si>
    <t>Floods are among the costliest natural hazards and their consequences are expected to increase further in the future due to urbanization in flood-prone areas. It is essential that policymakers understand the factors governing the dynamics of urbanization to adopt proper disaster risk reduction techniques. Peoples’ relocation preferences and their perception of flood risk (collectively called human behavior) are among the most important factors that influence urbanization in flood-prone areas. Current studies focusing on flood risk assessment do not consider the effect of human behavior on urbanization and how it may change the nature of the risk. Moreover, flood mitigation policies are implemented without considering the role of human behavior and how the community will cope with measures such as buyout, land acquisition, and relocation that are often adopted to minimize development in flood-prone regions. Therefore, such policies may either be resisted by the community or result in severe socioeconomic consequences. In this study, we present a new Agent-Based Model (ABM) to investigate the complex interaction between human behavior and urbanization and its role in creating future communities vulnerable to flood events. We identify critical factors in the decisions of households to locate or relocate and adopt policies compatible with human behavior. The results show that when people are informed about the flood risk and proper incentives are provided, the demand for housing within 500-year floodplain may be reduced as much as 15% by 2040 for the case study considered. On the contrary, if people are not informed of the risk, 29% of the housing choices will reside in floodplains. The analyses also demonstrate that neighborhood quality—influenced by accessibility to highways, education facilities, the city center, water bodies, and green spaces, respectively—is the most influential factor in peoples’ decisions on where to locate. These results provide new insights that may be used to assist city planners and stakeholders in examining tradeoffs between costs and benefits of future land development in achieving sustainable and resilient cities. © 2021, The Author(s).</t>
  </si>
  <si>
    <t>city; city planning; disaster; flooding; housing; human; legislation and jurisprudence; procedures; risk management; theoretical model; urbanization; Cities; City Planning; Disasters; Floods; Housing; Humans; Models, Theoretical; Risk Management; Urbanization</t>
  </si>
  <si>
    <t>2-s2.0-85116777276</t>
  </si>
  <si>
    <t>Ramsey E., Berglund E.Z.</t>
  </si>
  <si>
    <t>57097896100;56394090200;</t>
  </si>
  <si>
    <t>Developing an Agent-Based Model of Dual-Flush Toilet Adoption</t>
  </si>
  <si>
    <t>Journal of Water Resources Planning and Management</t>
  </si>
  <si>
    <t>147</t>
  </si>
  <si>
    <t>04021067</t>
  </si>
  <si>
    <t>10.1061/(ASCE)WR.1943-5452.0001454</t>
  </si>
  <si>
    <t>https://www.scopus.com/inward/record.uri?eid=2-s2.0-85112115316&amp;doi=10.1061%2f%28ASCE%29WR.1943-5452.0001454&amp;partnerID=40&amp;md5=6f08fdda257682eb524a7a60ad0be30e</t>
  </si>
  <si>
    <t>The spread of individual water conservation behaviors within a population can have large impacts on overall water demand. Agent-based models (ABMs) represent individual actors that update their behaviors over time in response to their environment and other agents, and ABMs have been applied to model the adoption of water conservation behaviors and technology. Existing ABM approaches are calibrated based on cumulative water demand data and use assumptions about household-level adoption behaviors. This research develops an ABM of water appliance (dual-flush toilets) adoption and introduces a new approach to calibrate the ABM while allowing for stochasticity and heterogeneity in agent parameters and adoption decisions. The calibration approach uses a noisy genetic algorithm (NGA), and the ABM is calibrated to match household survey data that was collected in Jaipur, India, in 2015. The NGA is applied multiple times to explore variability in the search, and five solutions were found with similar error values. The best-performing solution is applied to project adoption over a 100-year period for varying climate scenarios, and results show quicker adoption rates for dry climates. Sensitivity analysis was conducted for a parameter that represents a delay in adopting dual-flush toilets and a parameter that represents the importance of drought in making adoption decisions. The model presented in this research can be used to aid water resource planning and to anticipate potential impacts of water conservation policies, such as rebate programs or media campaigns. © 2021 American Society of Civil Engineers.</t>
  </si>
  <si>
    <t>Agent-based model; Dual-flush toilets; Eco-innovation diffusion; Water conservation technology</t>
  </si>
  <si>
    <t>Autonomous agents; Behavioral research; Computational methods; Genetic algorithms; Sensitivity analysis; Simulation platform; Surveys; Water resources; Adoption behavior; Adoption decision; Agent-based model; Climate scenarios; Conservation policy; Household surveys; Potential impacts; Water resource planning; Water conservation; conservation management; innovation; numerical model; technology adoption; technology diffusion; water planning; water resource</t>
  </si>
  <si>
    <t>2-s2.0-85112115316</t>
  </si>
  <si>
    <t>Li Y., Khalkhali M., Mo W., Lu Z.</t>
  </si>
  <si>
    <t>57216957496;57193725068;37034738300;46761275600;</t>
  </si>
  <si>
    <t>Modeling spatial diffusion of decentralized water technologies and impacts on the urban water systems</t>
  </si>
  <si>
    <t>315</t>
  </si>
  <si>
    <t>128169</t>
  </si>
  <si>
    <t>10.1016/j.jclepro.2021.128169</t>
  </si>
  <si>
    <t>https://www.scopus.com/inward/record.uri?eid=2-s2.0-85109168882&amp;doi=10.1016%2fj.jclepro.2021.128169&amp;partnerID=40&amp;md5=ebb3d2237b2a856187ddf2142657b5ec</t>
  </si>
  <si>
    <t>Understanding the market demand for decentralized water technologies and the impacts on the urban water systems (UWS) is critical to sustainable promotion in urban communities. In this paper, we developed a spatial agent-based model (ABM) that simulates the adoption of home-based rainwater harvesting (RWH) and greywater recycling (GWR) by single-family households in Boston, United States. We applied system dynamics modeling (SDM) to evaluate the impacts of decentralized technologies on the UWS. The change in carbon emissions of the UWS was modeled as the environmental benefit for household choice decisions in ABM. We validated our integration by comparing the simulated reservoir elevations with the reference-year values and comparing where early adoptions emerge with the reported installations. In the results, we first examined the sensitivity of the adoption and diffusion to the market promotion, neighbor's influence, environmental benefits, and economic attractiveness. Our simulation highlights the diffusion from central downtown to the suburban. RWH has higher adoptions than GWR, and RWH starts diffusing much earlier. Reservoir water availability is improved through the adoption of RWH and GWR. As the tradeoffs, reservoirs discharge more water for storage security, and hydropower generation becomes less as the need of water transfer decreases. The UWS do not reduce carbon emissions due to the high electricity consumption of GWR. Utilizing the improved water resources and reducing the impact of decentralized technologies are required for sustainable promotion of water decentralization. Our integrated modeling can be improved by including more critical socio-technical interactions for spatial planning of decentralized water technologies. © 2021 Elsevier Ltd</t>
  </si>
  <si>
    <t>Agent-based modeling; Decentralized water technology; Integrated analysis; Spatial planning; System dynamics modeling</t>
  </si>
  <si>
    <t>Autonomous agents; Carbon; Commerce; Computational methods; Diffusion; Environmental technology; Reservoirs (water); Sustainable development; System theory; Water resources; Agent-based modeling; Decentralised; Decentralized water technology; Greywater recycling; Integrated analysis; Rainwater harvesting; Spatial planning; System dynamics modelling; Urban water systems; Water technologies; Simulation platform</t>
  </si>
  <si>
    <t>2-s2.0-85109168882</t>
  </si>
  <si>
    <t>Liu W., Agusdinata D.B.</t>
  </si>
  <si>
    <t>57205475077;15755539000;</t>
  </si>
  <si>
    <t>Dynamics of local impacts in low-carbon transition: Agent-based modeling of lithium mining-community-aquifer interactions in Salar de Atacama, Chile</t>
  </si>
  <si>
    <t>Extractive Industries and Society</t>
  </si>
  <si>
    <t>8</t>
  </si>
  <si>
    <t>3</t>
  </si>
  <si>
    <t>100927</t>
  </si>
  <si>
    <t>10.1016/j.exis.2021.100927</t>
  </si>
  <si>
    <t>https://www.scopus.com/inward/record.uri?eid=2-s2.0-85105358526&amp;doi=10.1016%2fj.exis.2021.100927&amp;partnerID=40&amp;md5=b27b91440277bdf63196a58c9851c8f7</t>
  </si>
  <si>
    <t>The global transition to low-carbon technologies has accelerated the extraction of lithium. Its associated implications on local socio-environmental systems, however, are often overlooked. This study develops an agent-based model, applied to the lithium extraction in Salar de Atacama, Chile to understand (1) how mining's brine pumping rates affect groundwater movements and (2) how changes in water resources affect social-stress dynamics under multiple projections of mining activities. The results show the groundwater declines significantly in the mining area with impacts spreading outwards to nearby communities. Communities near mining operations are most vulnerable to mining expansions, while more distant residents experience long-lasting impacts due to lower compensation and delayed groundwater recovery. We found the role of groundwater uncertainties in causing the mismatched evolution of environmental and social dynamics, thereby highlighting some governance challenges stemming from resource uncertainties. Our analysis also points to a possible striking increase in social stress resulting from the recent social overburden in the area, underlining the need of building community resilience. We discuss how improved resource governance, pathways to build community resilience, and alternative mining techniques to decouple water use can help industrial and regional decision-makers better manage the world's largest lithium production sites towards a sustainable future. © 2021</t>
  </si>
  <si>
    <t>Agent-based model; Community resilience; Lithium mining; Resource uncertainties; Socio-environmental impacts</t>
  </si>
  <si>
    <t>2-s2.0-85105358526</t>
  </si>
  <si>
    <t>Araya F., Faust K.M., Kaminsky J.A.</t>
  </si>
  <si>
    <t>57202649864;55803401200;55337012900;</t>
  </si>
  <si>
    <t>Agent-Based Model of Hosting Communities' Perceptions of Water and Wastewater Infrastructure during the German Refugee Crisis</t>
  </si>
  <si>
    <t>Journal of Management in Engineering</t>
  </si>
  <si>
    <t>37</t>
  </si>
  <si>
    <t>4</t>
  </si>
  <si>
    <t>04021035</t>
  </si>
  <si>
    <t>10.1061/(ASCE)ME.1943-5479.0000938</t>
  </si>
  <si>
    <t>https://www.scopus.com/inward/record.uri?eid=2-s2.0-85105163789&amp;doi=10.1061%2f%28ASCE%29ME.1943-5479.0000938&amp;partnerID=40&amp;md5=87c5a2d9813ea772b6374f873381a9b4</t>
  </si>
  <si>
    <t>In 2016, Germany received approximately 50% of the 1.2 million asylum applications in the European Union. The applicants represented a population influx of displaced people that were accommodated primarily in urban settings, creating challenges for engineers and managers who needed to meet the new water and wastewater demands of the displaced persons without disrupting services to preexisting residents. To achieve this, local authorities and engineers had to consider temporary or permanent alterations to existing water and wastewater infrastructure - changes that could provoke opposition from a hosting community, depending on their perception of the changes. In this study, a modeling framework is proposed that allows decision makers to account for hosting communities' perceptions of alternatives for providing water and wastewater infrastructure services to displaced persons. The framework uses an agent-based model that is enabled by publicly available information, a survey deployed to German communities, and interviews with stakeholders involved in the accommodation of displaced persons in Germany. Our results indicate that alternatives used by local authorities did not always align with community-supported alternatives. To minimize such misalignments, we recommend that local authorities, early on in developing infrastructure alternatives, take into account the perceptions of hosting communities. Ultimately, the proposed framework promotes the sustainable provision of water and wastewater infrastructure to displaced persons. © 2021 American Society of Civil Engineers.</t>
  </si>
  <si>
    <t>Agent-based modeling; Displaced persons; Wastewater infrastructure; Water infrastructure</t>
  </si>
  <si>
    <t>Autonomous agents; Decision making; Economic and social effects; Simulation platform; Agent-based model; Decision makers; Local authorities; Model framework; Population influx; Sustainable provision; Urban settings; Water and wastewater; Computational methods</t>
  </si>
  <si>
    <t>2-s2.0-85105163789</t>
  </si>
  <si>
    <t>Ding K.J., Gilligan J.M., Yang Y.C.E., Wolski P., Hornberger G.M.</t>
  </si>
  <si>
    <t>57210991778;7006375009;54785392800;6602949318;7005737153;</t>
  </si>
  <si>
    <t>Assessing food–energy–water resources management strategies at city scale: An agent-based modeling approach for Cape Town, South Africa</t>
  </si>
  <si>
    <t>Resources, Conservation and Recycling</t>
  </si>
  <si>
    <t>170</t>
  </si>
  <si>
    <t>105573</t>
  </si>
  <si>
    <t>10.1016/j.resconrec.2021.105573</t>
  </si>
  <si>
    <t>https://www.scopus.com/inward/record.uri?eid=2-s2.0-85103795913&amp;doi=10.1016%2fj.resconrec.2021.105573&amp;partnerID=40&amp;md5=1dc3774dcb5ce7a28f542423472b5929</t>
  </si>
  <si>
    <t>The impact of human activities and climate change occurs across a range of spatial and temporal scales, and the city or regional scale is critical for managing food–energy–water (FEW) resources. We develop a coupled human-natural system model for Cape Town, South Africa, which consists of an agent-based model and a regional hydrologic model, to study the FEW nexus connecting the agricultural, urban, and hydroelectric generation sectors. We use the model to compare three policies—a simple adaptive approach, adaptation with free water to indigent households, and water supply augmentation—and assess their ability to provide reliable FEW services to the different stakeholders under four different climate scenarios, representing moderate to severe amounts of warming. Our results indicate that Cape Town is likely to face increasing water stress as temperatures rise, and that adaptation strategies could effectively mitigate the effects of water limitations and avoid severe failures in providing FEW services across sectors. One way to manage demand for FEW services is by adjusting water price tariffs, but high prices create inequality in access to water for households with different incomes. Our analysis suggests that the water supply system in Cape Town may already be at, if not over, its sustainable capacity within the FEW nexus. Our model serves as a test-bed for assessing policies to manage stresses on water resources for the benefit of stakeholders across FEW sectors. This model can be adapted to cities and regions around the globe. © 2021 Elsevier B.V.</t>
  </si>
  <si>
    <t>Agent-based model; Cape Town, South Africa; Coupled human-natural system model; Demand-side management; Drought mitigation; Food–energy–water Nexus</t>
  </si>
  <si>
    <t>Autonomous agents; Climate change; Climate models; Demand side management; Electric utilities; Simulation platform; Water resources; Water supply; Water supply systems; Agent-based modeling; Cape Town; Cape town, south africa; City scale; Coupled human-natural system model; Demand-side; Drought mitigation; Energy; Food–energy–water nexus; Water service; Computational methods; demand-side management; energy use; environmental impact assessment; food supply; human activity; hydrological modeling; modeling; stakeholder; urban area; water management; water resource; Africa; agriculture; Article; climate change; comparative study; desalination; economic aspect; economic disparity; energy resource; food resource; greenhouse effect; hydropower; income; nutritional parameters; planning; policy; population growth; process development; resource planning; urban area; wastewater; water management; water stress; water supply; water temperature; Cape Town; South Africa; South Africa; Western Cape</t>
  </si>
  <si>
    <t>2-s2.0-85103795913</t>
  </si>
  <si>
    <t>Wang Y., Zhou Y., Franz K., Zhang X., Ding K.J., Jia G., Yuan X.</t>
  </si>
  <si>
    <t>An agent-based framework for high-resolution modeling of domestic water use</t>
  </si>
  <si>
    <t>169</t>
  </si>
  <si>
    <t>105520</t>
  </si>
  <si>
    <t>10.1016/j.resconrec.2021.105520</t>
  </si>
  <si>
    <t>https://www.scopus.com/inward/record.uri?eid=2-s2.0-85101621936&amp;doi=10.1016%2fj.resconrec.2021.105520&amp;partnerID=40&amp;md5=fc323429940c6bec058c4e3a312b5013</t>
  </si>
  <si>
    <t>Many cities have been suffering from severe water deficiency in recent years due to rapid urban expansion, socioeconomic development, population growth, and climate change. Domestic water use plays an important role in the total urban water use. A framework for estimating domestic water use is highly needed to develop adaptive measures for efficient water use under climate change and urbanization. In this study, we developed an agent-based model (ABM) with two groups of agents to estimate the domestic water use. These two groups include the government agent that determines the income growth rate, adjusts water prices, and promotes water-efficient appliances, and the residential agents who consume water. To better capture the impact of urbanization and climate change on water use, the utility function of residential agents was further divided into base water use related to economic condition and seasonal water use that is sensitive to climate conditions. Moreover, a bass diffusion model was proposed and integrated into the ABM to consider the diffusion of water-efficient appliances. Results show that our ABM can capture the spatiotemporal pattern of domestic water use in different regions. Residents in the central urban area consume more water compared to residents in the suburbs in the study cities in China, but it is opposite in the study counties in the US. The growth of income and water-efficient appliances are two factors affecting domestic water use. The proposed modeling framework is transferrable to other regions to develop strategies for mitigating domestic water use. © 2021</t>
  </si>
  <si>
    <t>Agent-based modeling; Bass diffusion model; Domestic water use</t>
  </si>
  <si>
    <t>Autonomous agents; Climate change; Computational methods; Economic and social effects; Housing; Population statistics; Urban growth; Agent-based framework; Bass Diffusion Model; Domestic water use; Economic condition; High-resolution models; Income growth rate; Socio-economic development; Spatiotemporal patterns; Domestic appliances; climate change; household income; income; numerical model; urban area; urbanization; water use efficiency; Article; China; climate change; computer model; controlled study; economic aspect; environmental impact; growth rate; household income; price; residential area; seasonal variation; suburban area; urban area; urbanization; utility value; water supply; China; United States</t>
  </si>
  <si>
    <t>2-s2.0-85101621936</t>
  </si>
  <si>
    <t>Yoon J., Klassert C., Selby P., Lachaut T., Knox S., Avisse N., Harou J., Tilmant A., Klauer B., Mustafa D., Sigel K., Talozi S., Gawel E., Medellín-Azuara J., Bataineh B., Zhang H., Gorelick S.M.</t>
  </si>
  <si>
    <t>56661561700;55797570700;57222649869;57222649059;7102991119;57192700967;24329473000;15822801300;57191781642;7004819871;10244151500;6508223235;6505918661;19934190600;57222650477;57192490455;7006043417;</t>
  </si>
  <si>
    <t>A coupled human-natural system analysis of freshwater security under climate and population change</t>
  </si>
  <si>
    <t>Proceedings of the National Academy of Sciences of the United States of America</t>
  </si>
  <si>
    <t>118</t>
  </si>
  <si>
    <t>14</t>
  </si>
  <si>
    <t>e2020431118</t>
  </si>
  <si>
    <t>10.1073/pnas.2020431118</t>
  </si>
  <si>
    <t>https://www.scopus.com/inward/record.uri?eid=2-s2.0-85103610119&amp;doi=10.1073%2fpnas.2020431118&amp;partnerID=40&amp;md5=9b8d5f1db316d90d7a917375a902d8e4</t>
  </si>
  <si>
    <t>Limited water availability, population growth, and climate change have resulted in freshwater crises in many countries. Jordan's situation is emblematic, compounded by conflict-induced population shocks. Integrating knowledge across hydrology, climatology, agriculture, political science, geography, and economics, we present the Jordan Water Model, a nationwide coupled human-natural-engineered systems model that is used to evaluate Jordan's freshwater security under climate and socioeconomic changes. The complex systems model simulates the trajectory of Jordan's water system, representing dynamic interactions between a hierarchy of actors and the natural and engineered water environment. A multiagent modeling approach enables the quantification of impacts at the level of thousands of representative agents across sectors, allowing for the evaluation of both systemwide and distributional outcomes translated into a suite of water-security metrics (vulnerability, equity, shortage duration, and economic well-being). Model results indicate severe, potentially destabilizing, declines in freshwater security. Per capita water availability decreases by approximately 50% by the end of the century. Without intervening measures, &gt;90% of the low-income household population experiences critical insecurity by the end of the century, receiving &lt;40 L per capita per day. Widening disparity in freshwater use, lengthening shortage durations, and declining economic welfare are prevalent across narratives. To gain a foothold on its freshwater future, Jordan must enact a sweeping portfolio of ambitious interventions that include large-scale desalinization and comprehensive water sector reform, with model results revealing exponential improvements in water security through the coordination of supply- and demand-side measures. © 2021 National Academy of Sciences. All rights reserved.</t>
  </si>
  <si>
    <t>Hydroeconomic modeling; Jordan; Multiagent model; Multisector dynamics; Water security</t>
  </si>
  <si>
    <t>Article; climate change; controlled study; coupled human natural system; desalination; economic status; engineering and technology; equity; freshwater environment; freshwater security; household income; Jordan; lowest income group; metric system; priority journal; resource shortage; simulation; social hierarchy; social status; vulnerability; water insecurity; welfare; population dynamics; system analysis; water conservation; fresh water; Climate Change; Conservation of Water Resources; Fresh Water; Jordan; Population Dynamics; Systems Analysis</t>
  </si>
  <si>
    <t>2-s2.0-85103610119</t>
  </si>
  <si>
    <t>Peirelinck T., Hermans C., Spiessens F., Deconinck G.</t>
  </si>
  <si>
    <t>57193079916;57204321389;8700996500;56492542300;</t>
  </si>
  <si>
    <t>Transfer learning for Demand Response of a Multi-Agent Battery and Electric Water Heater System</t>
  </si>
  <si>
    <t>Proceedings of 2021 IEEE PES Innovative Smart Grid Technologies Europe: Smart Grids: Toward a Carbon-Free Future, ISGT Europe 2021</t>
  </si>
  <si>
    <t>10.1109/ISGTEurope52324.2021.9640081</t>
  </si>
  <si>
    <t>https://www.scopus.com/inward/record.uri?eid=2-s2.0-85123920123&amp;doi=10.1109%2fISGTEurope52324.2021.9640081&amp;partnerID=40&amp;md5=5b40a9cc75435e72734c72fb560e0a14</t>
  </si>
  <si>
    <t>Renewable Energy Sources (RES) are ever more finding their way into today's power systems. They have many benefits, but hold challenges when it comes to operating the power system. Their intermittency defies the current prominent approach of keeping system balance; supply follows demand. Demand Response (DR) has been proposed numerous times to mitigate the challenges of RES. Additionally, Reinforcement Learning (RL) has been proposed numerous times to mitigate the scalability challenges of DR. Simultaneously, RL has been criticised for its data inefficiency. In an effort to tackle this problem, we showcase a transfer learning approach in a DR setting. The application consists of a household, equipped with inflexible load, a rooftop solar installation, an Electric Water Heater (EWH) and a battery. The household's electrical energy consumption is billed according to a Time-of-Use-pricing scheme. In this multi-agent DR application, two RL-agents, one for the EWH and one for the battery, have to efficiently operate the system. We show that in our scenario RL, combined with pretraining of the battery-agent, reduces operation cost by 28.5 %, compared to rule-based control. © 2021 IEEE.</t>
  </si>
  <si>
    <t>Costs; Energy utilization; Heating; Hot water distribution systems; Multi agent systems; Reinforcement learning; Renewable energy resources; 'current; Demand response; Electric water heaters; Intermittency; ITS data; Multi agent; Power; Reinforcement learnings; Renewable energy source; Transfer learning; Water heaters</t>
  </si>
  <si>
    <t>Conference Paper</t>
  </si>
  <si>
    <t>2-s2.0-85123920123</t>
  </si>
  <si>
    <t>Vazquez-Canteli J.R., Henze G., Nagy Z.</t>
  </si>
  <si>
    <t>57195835393;57206531308;24829852300;</t>
  </si>
  <si>
    <t>MARLISA: Multi-Agent Reinforcement Learning with Iterative Sequential Action Selection for Load Shaping of Grid-Interactive Connected Buildings</t>
  </si>
  <si>
    <t>BuildSys 2020 - Proceedings of the 7th ACM International Conference on Systems for Energy-Efficient Buildings, Cities, and Transportation</t>
  </si>
  <si>
    <t>10.1145/3408308.3427604</t>
  </si>
  <si>
    <t>https://www.scopus.com/inward/record.uri?eid=2-s2.0-85097203592&amp;doi=10.1145%2f3408308.3427604&amp;partnerID=40&amp;md5=fa6d520dc012888fd3f8eda6ff3c60cd</t>
  </si>
  <si>
    <t>We demonstrate that multi-agent reinforcement learning (RL) controllers can cooperate to provide more effective load shaping in a model-free, decentralized, and scalable way with very limited sharing of anonymous information. Rapid urbanization, increasing electrification, the integration of renewable energy resources, and the potential shift towards electric vehicles create new challenges for the planning and control of energy systems in smart cities. Energy storage resources can help better align peaks of renewable energy generation with peaks of electricity consumption and flatten the curve of electricity demand. Model-based controllers, such as MPC, require developing models of the systems controlled, which is often not cost-effective or scalable. Model-free controllers, such as RL, have the potential to provide good control policies cost-effectively and leverage the use of historical data for training. However, it is unclear how RL algorithms can control a multitude of energy systems in a scalable coordinated way. In this paper, we introduce MARLISA, a controller that combines multi-agent RL with our proposed iterative sequential action selection algorithm for load shaping in urban energy systems. This approach uses a reward function with individual and collective goals, and the agents predict their own future electricity consumption and share this information with each other following a leader-follower schema. The RL agents are tested in four groups of nine simulated buildings, with each group located in a different climate. The buildings have diverse load and domestic hot water profiles, PV panels, thermal storage devices, heat pumps, and electric heaters. The agents are evaluated on the average of five normalized metrics: annual net electric consumption, 1 - load factor, average daily peak demand, annual peak demand, and ramping. MARLISA achieves superior results over multiple independent/uncooperative RL agents using the same reward function. Our results outperformed a manually optimized rule-based controller (RBC) benchmark by reducing the average daily peak load by 15%, ramping by 35%, and increasing the load factor by 10%. A multi-year case study on real weather data shows that MARLISA significantly outperforms the RBC in within a year and converges in less than 2 years. Combining MARLISA and the RBC for the first year improves overall initial performance by learning from the RBC rather than random exploration. © 2020 ACM.</t>
  </si>
  <si>
    <t>demand response; microgrid; multi-agent coordination; Reinforcement learning</t>
  </si>
  <si>
    <t>Controllers; Cost effectiveness; Electric energy storage; Electric loads; Electric power utilization; Heat storage; Information dissemination; Intelligent buildings; Iterative methods; Multi agent systems; Photovoltaic cells; Reinforcement learning; Renewable energy resources; Virtual storage; Electric consumption; Electricity-consumption; Integration of renewable energies; Model free controller; Model-based controller; Multi-agent reinforcement learning; Renewable energy generation; Urban energy systems; Energy efficiency</t>
  </si>
  <si>
    <t>2-s2.0-85097203592</t>
  </si>
  <si>
    <t>Grignard A., Nguyen-Huu T., Gaudou B., Nguyen-Ngoc D., Brugiere A., Dang-Huu T., Nghi H.Q., Khanh N.T., Larson K.</t>
  </si>
  <si>
    <t>55803641700;14632281000;13605990300;37018666500;57219340912;57221598128;57213113437;57201357839;7102155300;</t>
  </si>
  <si>
    <t>CityScope Hanoi: Interactive simulation for water management in the Bac Hung Hai irrigation system</t>
  </si>
  <si>
    <t>Proceedings - 2020 12th International Conference on Knowledge and Systems Engineering, KSE 2020</t>
  </si>
  <si>
    <t>9287831</t>
  </si>
  <si>
    <t>10.1109/KSE50997.2020.9287831</t>
  </si>
  <si>
    <t>https://www.scopus.com/inward/record.uri?eid=2-s2.0-85099585587&amp;doi=10.1109%2fKSE50997.2020.9287831&amp;partnerID=40&amp;md5=d5395723f9d2272858df5fe9a52a6291</t>
  </si>
  <si>
    <t>Irrigation systems contribute worldwide to the provision of a wide range of services on which the survival and well-being of humanity depend. They are of primary importance in Vietnam where about 90% of the water used is for irrigation and aquaculture and where agriculture is the largest employer and a major contributor to the national GDP and to the income of the low-salary households. Nevertheless, irrigation systems have recently been subjected to several issues including increasing demand, pollution, under-investment, depletion of resources or environmental changes. Any mitigation measure against these issues needs to be sustainable with respect to the very diverse uses of the water, the changing conditions upstream and downstream, and the somewhat conflicting objectives carried out by land-use/agricultural planning on one hand and urbanization and society well-being on the other. This need of sustainability requires the design of innovative tools to tackle these issues. This work aims at exploring the usage of Agent-Based Modelling coupled with a tangible and interactive interface in order to enhance interactions between stakeholders and support the evaluation of various alternatives of the management of the Bac Hung Hai irrigation system. © 2020 IEEE.</t>
  </si>
  <si>
    <t>Agent-Based Model; Bac Hung Hai; CityScope; GAMA platform; interactive simulation; irrigation system</t>
  </si>
  <si>
    <t>Agricultural robots; Autonomous agents; Compensation (personnel); Computational methods; Economic and social effects; Economics; Irrigation; Land use; Sustainable development; Systems engineering; Water management; Agent-based modelling; Conflicting objectives; Environmental change; Interactive interfaces; Interactive simulations; Irrigation systems; Mitigation measures; Well being; Rivers</t>
  </si>
  <si>
    <t>2-s2.0-85099585587</t>
  </si>
  <si>
    <t>Ramsey E., Pesantez J., Fasaee M.A.K., Dicarlo M., Monroe J., Berglund E.Z.</t>
  </si>
  <si>
    <t>57097896100;57209307038;57193115962;57210929637;57195674494;56394090200;</t>
  </si>
  <si>
    <t>A smart water grid for micro-trading rainwater: Hydraulic feasibility analysis</t>
  </si>
  <si>
    <t>Water (Switzerland)</t>
  </si>
  <si>
    <t>12</t>
  </si>
  <si>
    <t>3075</t>
  </si>
  <si>
    <t>10.3390/w12113075</t>
  </si>
  <si>
    <t>https://www.scopus.com/inward/record.uri?eid=2-s2.0-85095971975&amp;doi=10.3390%2fw12113075&amp;partnerID=40&amp;md5=29b430f478decb935d3f02b941bf38f7</t>
  </si>
  <si>
    <t>Water availability is increasingly stressed in cities across the world due to population growth, which increases demands, and climate change, which can decrease supply. Novel water markets and water supply paradigms are emerging to address water shortages in the urban environment. This research develops a new peer-to-peer non-potable water market that allows households to capture, use, sell, and buy rainwater within a network of water users. A peer-to-peer non-potable water market, as envisioned in this research, would be enabled by existing and emerging technologies. A dual reticulation system, which circulates non-potable water, serves as the backbone for the water trading network by receiving water from residential rainwater tanks and distributing water to households for irrigation purposes. Prosumer households produce rainwater by using cisterns to collect and store rainwater and household pumps to inject rainwater into the network at sufficiently high pressures. The smart water grid would be enabled through an array of information and communication technologies that provide capabilities for automated and real-time metering of water flow, control of infrastructure, and trading between households. The goal of this manuscript is to explore and test the hydraulic feasibility of a micro-trading system through an agent-based modeling approach. Prosumer households are represented as agents that store rainwater and pump rainwater into the network; consumer households are represented as agents that withdraw water from the network for irrigation demands. An all-pipe hydraulic model is constructed and loosely coupled with the agent-based model to simulate network hydraulics. A set of scenarios are analyzed to explore how micro-trading performs based on the level of irrigation demands that could realistically be met through decentralized trading; pressure and energy requirements at prosumer households; pressure and water quality in the pipe network. © 2020 by the authors. Licensee MDPI, Basel, Switzerland.</t>
  </si>
  <si>
    <t>Agent-based modeling; Decentralized water supply; Dual reticulation; Rainwater harvesting; Smart city; Urban water management; Water distribution system; Water trading</t>
  </si>
  <si>
    <t>Autonomous agents; Climate change; Commerce; Computational methods; Flow of water; Hydraulic models; Irrigation; Microgrids; Peer to peer networks; Population statistics; Simulation platform; Water quality; Water supply; Water tanks; Dual reticulations; Emerging technologies; Energy requirements; Feasibility analysis; Information and Communication Technologies; Network hydraulics; Real-time metering; Water availability; Potable water; automation; communication network; feasibility study; hydraulic structure; pipe; pressure field; pump; rainwater; water economics; water quality; water supply</t>
  </si>
  <si>
    <t>2-s2.0-85095971975</t>
  </si>
  <si>
    <t>Nasrazadani H., Mahsuli M.</t>
  </si>
  <si>
    <t>57194540328;26634096000;</t>
  </si>
  <si>
    <t>Probabilistic Framework for Evaluating Community Resilience: Integration of Risk Models and Agent-Based Simulation</t>
  </si>
  <si>
    <t>Journal of Structural Engineering (United States)</t>
  </si>
  <si>
    <t>146</t>
  </si>
  <si>
    <t>04020250</t>
  </si>
  <si>
    <t>10.1061/(ASCE)ST.1943-541X.0002810</t>
  </si>
  <si>
    <t>https://www.scopus.com/inward/record.uri?eid=2-s2.0-85090280133&amp;doi=10.1061%2f%28ASCE%29ST.1943-541X.0002810&amp;partnerID=40&amp;md5=f91f634499ca67b78a7e18e5db07636f</t>
  </si>
  <si>
    <t>This paper proposes a novel probabilistic framework to quantitatively evaluate the resilience of communities comprising buildings and various interdependent infrastructure systems. To this aim, the proposed framework seamlessly integrates risk models and agent-based simulation in a Monte Carlo sampling scheme. The risk module includes models that evaluate the initial posthazard state of the community by probabilistic simulation of the hazard event, the structural response and damage of buildings and infrastructure systems, and cascading consequences that arise from interdependencies. Subsequently, the agent-based module simulates the recovery of the community from those consequences in which decentralized autonomous decision-making entities called "agents"undertake recovery operations. The agents prioritize buildings and infrastructure components for recovery and schedule operations as discrete events with uncertain duration and cost. Consequently, the probability distribution of the total cost incurred by the community and the total recovery time is evaluated. A resilience measure is then proposed as a function of the total community cost, which represents demand, and the gross regional product of the community, which represents the capacity to cope with that demand. The framework is showcased by a comprehensive application to a community comprising a portfolio of residential and commercial buildings, an electric power system, a water system, and a healthcare system subject to seismic hazard. © 2020 American Society of Civil Engineers.</t>
  </si>
  <si>
    <t>Agent-based simulation; Community resilience; Cost; Infrastructure systems; Interdependency; Recovery analysis; Risk analysis</t>
  </si>
  <si>
    <t>Decision making; Electric power systems; Hazards; Monte Carlo methods; Office buildings; Probability distributions; Recovery; Risk assessment; Uncertainty analysis; Agent based simulation; Community resiliences; Gross regional products; Infrastructure systems; Interdependent infrastructure systems; Monte Carlo sampling; Probabilistic framework; Probabilistic simulation; Autonomous agents</t>
  </si>
  <si>
    <t>2-s2.0-85090280133</t>
  </si>
  <si>
    <t>Narayanan L.K., Sankaranarayanan S., Rodrigues J.J.P.C., Lorenz P.</t>
  </si>
  <si>
    <t>57211094565;35079304100;25930566300;7101942080;</t>
  </si>
  <si>
    <t>Multi-agent-based modeling for underground pipe health and water quality monitoring for supplying quality water</t>
  </si>
  <si>
    <t>International Journal of Intelligent Information Technologies</t>
  </si>
  <si>
    <t>16</t>
  </si>
  <si>
    <t>10.4018/IJIIT.2020070103</t>
  </si>
  <si>
    <t>https://www.scopus.com/inward/record.uri?eid=2-s2.0-85091340553&amp;doi=10.4018%2fIJIIT.2020070103&amp;partnerID=40&amp;md5=45761488ddfd2e3b07a66af0ecff2668</t>
  </si>
  <si>
    <t>This article discusses distributed monitoring through the deployment of various multiagents in the IoT-Fog-based water distribution network (WDN). This will ensure the right amount of water supplied with respect to demand forecasted to residents. In addition, underground pipe health is also monitored by means of a multiagent based on hydraulic parameters supplying water forecasted with minimal losses which would minimize the operational and material cost involved in recovery or repair. Lastly, there are agents deployed towards leakage monitoring and anti-theft detection of water. The multiagents act upon various parameters of hydrology and analysis is based on the data acquired by the various sensors deployed in the water distribution network which perform partial automation of the disconnection of the supply during extreme critical conditions. © 2020, IGI Global.</t>
  </si>
  <si>
    <t>Fog; Internet of Things; Multi-Agents; Water Distribution Network</t>
  </si>
  <si>
    <t>Autonomous agents; Computational methods; Multi agent systems; Simulation platform; Water quality; Critical condition; Distributed monitoring; Hydraulic parameters; Leakage monitoring; Multi-agent based modeling; Partial automation; Water distribution networks; Water quality monitoring; Water distribution systems</t>
  </si>
  <si>
    <t>2-s2.0-85091340553</t>
  </si>
  <si>
    <t>Namany S., Govindan R., Alfagih L., McKay G., Al-Ansari T.</t>
  </si>
  <si>
    <t>57194158767;34881705900;56606211500;57329468500;56223885400;</t>
  </si>
  <si>
    <t>Sustainable food security decision-making: An agent-based modelling approach.</t>
  </si>
  <si>
    <t>255</t>
  </si>
  <si>
    <t>120296</t>
  </si>
  <si>
    <t>10.1016/j.jclepro.2020.120296</t>
  </si>
  <si>
    <t>https://www.scopus.com/inward/record.uri?eid=2-s2.0-85078698899&amp;doi=10.1016%2fj.jclepro.2020.120296&amp;partnerID=40&amp;md5=1041e4cd490ef664f9fe3d5c45fb25bc</t>
  </si>
  <si>
    <t>Ensuring a consistent and regular availability of food is crucial for food security. Food markets, supplied through both domestic production and international trade, are governed by several risks emerging from unpredictable supply chain disruptions, volatility of commodity prices, along with other unforeseen circumstances such as natural disasters. To mitigate the challenges threatening the stability of food systems, decision-making within the food sector should be enhanced and robust to accommodate any changes that might cause food shortages. Dynamic models, that can predict the behavior of food systems in order to avoid potential future knock-on effects and deficits, are incumbent to ensure the sustainable performance of food systems. This study proposes a dynamic decision-making scheme that simulates strategies of the perishable food market under different circumstances. An agent-based model (ABM) is developed and implemented using python MESA library for a case study in Qatar, illustrating the potential performance of tomato under three different scenarios to be considered, namely: (a) baseline scenario - aiming to reflect current production and market conditions; (b) water resource efficiency scenario - basing decisions on crop water requirement (CWR) depending on weather conditions; and (c) economic risk scenario - applying the concept of forward contracts to hedge against future uncertainties in crop prices. The findings of this study demonstrate that under the baseline conditions, a tomato crop can be supplied through a combination of domestic production and imports depending on the available inventories and prices imposed by exporters. The results obtained for the CWR scenario suggest the need for total reliance on imports in order to meet domestic demand, as there is potentially high-water loss, which amounts to an average of 4.9 Billion m3 per year, if tomato is grown locally. In contrast, the results from the forward contract scenario recommend a 57% dependency on local production in order to mitigate the effects of volatility in global food prices, which contributes to a 63% reduction in environmental emissions. Findings of this research provide insight into the factors that influence strategic decision making by the food sector to enhance its economic and environmental performances under diverse circumstances. © 2020 Elsevier Ltd</t>
  </si>
  <si>
    <t>crop water requirement; Food trade; Forward contracts; Nexus; Virtual water</t>
  </si>
  <si>
    <t>Autonomous agents; Computational methods; Costs; Crops; Disasters; Electronic trading; Environmental management; Financial markets; Food supply; Fruits; International trade; Simulation platform; Supply chains; Sustainable development; Water resources; Crop water requirements; Dynamic decision making; Economic and environmental performance; Forward contract; Nexus; Strategic decision making; Supply-chain disruptions; Virtual water; Risk perception</t>
  </si>
  <si>
    <t>2-s2.0-85078698899</t>
  </si>
  <si>
    <t>Zhuge C., Yu M., Wang C., Cui Y., Liu Y.</t>
  </si>
  <si>
    <t>54953547900;57197746005;57194201520;57203971716;57192561333;</t>
  </si>
  <si>
    <t>An agent-based spatiotemporal integrated approach to simulating in-home water and related energy use behaviour: A test case of Beijing, China</t>
  </si>
  <si>
    <t>Science of the Total Environment</t>
  </si>
  <si>
    <t>708</t>
  </si>
  <si>
    <t>135086</t>
  </si>
  <si>
    <t>10.1016/j.scitotenv.2019.135086</t>
  </si>
  <si>
    <t>https://www.scopus.com/inward/record.uri?eid=2-s2.0-85076601016&amp;doi=10.1016%2fj.scitotenv.2019.135086&amp;partnerID=40&amp;md5=a837ac245b0d18dbe6d7b70e62e26f73</t>
  </si>
  <si>
    <t>Water and energy consumptions in the residential sector are highly correlated. A better understanding of the correlation would help save both water and energy, for example, through technological innovations, management and policies. Recently, there is an increasing need for a higher spatiotemporal resolution in the analysis and modelling of water-energy demand, as the results would be more useful for policy analysis and infrastructure planning in both water and energy systems. In response, this paper developed an agent-based spatiotemporal integrated approach to simulate the water-energy consumption of each household or person agent in second throughout a whole day, considering the influences of out-of-home activities (e.g., work and shopping) on in-home activities (e.g., bathing, cooking and cleaning). The integrated approach was tested in the capital of China, Beijing. The temporal results suggested that the 24-hour distributions of water and related energy consumptions were quite similar, and the water-energy consumptions were highly correlated (with a Pearson correlation coefficient of 0.89); The spatial results suggested that people living in the central districts and the central areas of the outer districts tended to consume more water and related energy, and also the water-energy correlation varies across space. Such spatially and temporally explicit results are expected to be useful for policy making (e.g., time-of-use tariffs) and infrastructure planning and optimization in both water and energy sectors. © 2019 Elsevier B.V.</t>
  </si>
  <si>
    <t>Activity-based modelling; Agent-based modelling; Consumption behaviour; House appliances; Nexus of water and energy</t>
  </si>
  <si>
    <t>Autonomous agents; Computational methods; Correlation methods; Integrated control; Activity-based modelling; Agent-based modelling; Consumption behaviour; Infrastructure planning; Pearson correlation coefficients; Spatio-temporal resolution; Technological innovation; Water and energies; Energy utilization; correlation; demand analysis; electronic equipment; household energy; infrastructure planning; integrated approach; policy analysis; spatiotemporal analysis; water use; Article; China; cleaning; cooking; energy conservation; energy consumption; energy resource; fluid intake; household; human; priority journal; public policy; shopping; simulation; spatiotemporal analysis; urban area; water conservation; water supply; work; Beijing [China]; China</t>
  </si>
  <si>
    <t>2-s2.0-85076601016</t>
  </si>
  <si>
    <t>Kabora T.K., Stump D., Wainwright J.</t>
  </si>
  <si>
    <t>57200796057;35747144400;7007134898;</t>
  </si>
  <si>
    <t>How did that get there? Understanding sediment transport and accumulation rates in agricultural landscapes using the ESTTraP agent-based model</t>
  </si>
  <si>
    <t>Journal of Archaeological Science: Reports</t>
  </si>
  <si>
    <t>29</t>
  </si>
  <si>
    <t>102115</t>
  </si>
  <si>
    <t>10.1016/j.jasrep.2019.102115</t>
  </si>
  <si>
    <t>https://www.scopus.com/inward/record.uri?eid=2-s2.0-85076729774&amp;doi=10.1016%2fj.jasrep.2019.102115&amp;partnerID=40&amp;md5=1a26ccba6f2c00b1d99279b04a286279</t>
  </si>
  <si>
    <t>The 15th–18th century CE site of Engaruka in Tanzania is often described as primarily comprising drystone agricultural terraces, but it is now known that many of these former farming plots are not terraces per se, but are instead sediment traps. Stratigraphic excavations of these traps show that they were built by constructing low drystone walls adjacent to either natural or artificial water courses in order to capture fine alluvial sediments entrained within water flows. In the northern area of the site sediments were accumulated to a depth of up to 700 mm, while in one area in the south of the site over 2 m of deposits were accumulated over at least a 300 year period. The presence of sediment traps on archaeological sites allows investigations of the efficacy and sustainability of these structures over decadal to centennial timescales, since stratigraphic excavations can define the process of construction, and geoarchaeological analyses can explore changes within accumulated sediments over time. Although a combination of stratigraphy and absolute dating can discern the broad sequence and timing of sediment capture they cannot determine sediment-accumulation rates, and these techniques are too time consuming to be used to map the development of over 9 km2 of sediment traps. The ESTTraP agent-based model provides these data by simulating sediment accumulation under different hydrological conditions. Four scenarios were simulated for a period of 100 years: constant water availability (SIM-01), seasonal variability (SIM-02), long-term climate variability (SIM- 03), and vegetation-cover impact (SIM-04). The model results suggest that the fields can be constructed over a short period of time, approximately 1–3 months per 6 × 6 m field, and that to construct a block of 90 fields covering 3,000 m2 it would take between 8 and 13 years in periods of high water availability, and up to 27 years during prolonged dry periods. The results define the amount of time needed to construct individual fields, and suggest that farmers constructed blocks of fields concurrently rather than sequentially expanding across the landscape, and that the c. 10 km2 area of sediment traps at Engaruka could have been constructed by a number of households working independently. The ESTTraP model presents an important resource in the assessment of sediment dynamics and patterns of field development, is relevant to a range of archaeological sites worldwide that include intentional or unintentional alluvial deposition, and has applications for modern landscape management. © 2019 Elsevier Ltd</t>
  </si>
  <si>
    <t>Agent-based model; Engaruka; Sediment accumulation rates; Sediment transport; Sediment traps; Water-management system</t>
  </si>
  <si>
    <t>2-s2.0-85076729774</t>
  </si>
  <si>
    <t>[No author name available]</t>
  </si>
  <si>
    <t>[No author id available]</t>
  </si>
  <si>
    <t>40th SGAI International Conference on Innovative Techniques and Applications of Artificial Intelligence, AI 2020</t>
  </si>
  <si>
    <t>Lecture Notes in Computer Science (including subseries Lecture Notes in Artificial Intelligence and Lecture Notes in Bioinformatics)</t>
  </si>
  <si>
    <t>12498 LNAI</t>
  </si>
  <si>
    <t>https://www.scopus.com/inward/record.uri?eid=2-s2.0-85098270079&amp;partnerID=40&amp;md5=6dd52eb8bf772973e5b823b483a949cb</t>
  </si>
  <si>
    <t>The proceedings contain 32 papers. The special focus in this conference is on Innovative Techniques and Applications of Artificial Intelligence. The topics include: Developing ensemble methods for detecting anomalies in water level data; detecting node behaviour changes in subgraphs; ReLEx: Regularisation for linear extrapolation in neural networks with rectified linear units; Partial-ACO mutation strategies to scale-up fleet optimisation and improve air quality (best application paper); a metaheuristic search technique for solving the warehouse stock management problem and the routing problem in a real company; investigating the use of machine learning for South African edible garnish yield prediction; semantic technologies towards accountable artificial intelligence: A poultry chain management use case; Short-term forecasting methodology for energy demand in residential buildings and the impact of the COVID-19 pandemic on forecasts; weather downtime prediction in a south african port environment; symbolic explanation module for fuzzy cognitive map-based reasoning models; software fault localisation via probabilistic modelling; candidates reduction and enhanced sub-sequence-based dynamic time warping: A hybrid approach; ensemble-based relationship discovery in relational databases; intention-aware model to support agent deliberation in a large-scale dynamic multi-agent application; combining bandits and lexical analysis for document retrieval in a juridical corpora; in-bed human pose classification using sparse inertial signals; Maintaining curated document databases using a learning to rank model: The ORRCA experience; What are we depressed about when we talk about COVID-19: Mental health analysis on tweets using natural language processing; using sentence embedding for cross-language plagiarism detection; leveraging anomaly detection for proactive application monitoring.</t>
  </si>
  <si>
    <t>Conference Review</t>
  </si>
  <si>
    <t>2-s2.0-85098270079</t>
  </si>
  <si>
    <t>Searle C., Harper V.E.</t>
  </si>
  <si>
    <t>57220054486;57220209974;</t>
  </si>
  <si>
    <t>Modelling the tendencies of a residential population to conserve water</t>
  </si>
  <si>
    <t>South African Journal of Industrial Engineering</t>
  </si>
  <si>
    <t>31</t>
  </si>
  <si>
    <t>10.7166/31-3-2425</t>
  </si>
  <si>
    <t>https://www.scopus.com/inward/record.uri?eid=2-s2.0-85097301569&amp;doi=10.7166%2f31-3-2425&amp;partnerID=40&amp;md5=8ad869cabe91aedf6101ca8a27f16e6b</t>
  </si>
  <si>
    <t>Water scarcity is both a global and a local phenomenon. In order to address this, investigations into water demand management strategies and the conservation tendencies of a population are imperative. This paper investigates the tendencies of a residential population in the City of Cape Town to conserve water in response to certain demand management strategies, using an agent-based simulation approach. The model allows for the population in a ward of interest to be defined by certain attributes, such as income level and access to information. The user may trigger certain demand management strategies during the simulation run, and visually explore the changes in environmental awareness and conservation tendency of the user-defined population. The model has the ability to be used as an investigative tool to explore the effect of different water demand management strategies on the tendencies of households in different wards of Cape Town to conserve water. © 2020, South African Institute of Industrial Engineering. All rights reserved.</t>
  </si>
  <si>
    <t>Industrial engineering; Industrial management; Agent based simulation; Cape Town; Demand management strategies; Environmental awareness; Income levels; Residential population; Water Demand Management; Water scarcity; Housing</t>
  </si>
  <si>
    <t>2-s2.0-85097301569</t>
  </si>
  <si>
    <t>Varbak M., Ma Z., Christensen K., Demazeau Y., Jorgensen B.N.</t>
  </si>
  <si>
    <t>57214760370;55248003000;57210699336;6603596352;7202434812;</t>
  </si>
  <si>
    <t>Agent-Based Simulation of Implicit Demand Response Adoption for Water Distribution System Reservoirs</t>
  </si>
  <si>
    <t>Proceedings of the 2020 IEEE/SICE International Symposium on System Integration, SII 2020</t>
  </si>
  <si>
    <t>9026279</t>
  </si>
  <si>
    <t>10.1109/SII46433.2020.9026279</t>
  </si>
  <si>
    <t>https://www.scopus.com/inward/record.uri?eid=2-s2.0-85082577578&amp;doi=10.1109%2fSII46433.2020.9026279&amp;partnerID=40&amp;md5=166923da69692d301f98b20f5b491c19</t>
  </si>
  <si>
    <t>The electricity production from intermittent renewable energy sources, such as wind and solar power, has increased significantly, which requires the electricity grid to be gradually restructured through different approaches. Demand Response (DR) is one of the examples which is applicable to a broad variety of electricity consumers, from households to sizable industrial processes. However, there is a barrier to implement DR in that consumers may not be willing to change their behaviour or invest in energy management technologies without gaining enough monetary benefits from doing so. The purpose of this study is to investigate the behaviour of electricity consumers who are offered implicit DR solutions and to investigate which parameters that characterise the consumers who adopt these solutions. The study applies an agent-based simulation model that uses separate and independent modules for the domain logic, the business solution logic and the DR adoption decision logic, respectively. Furthermore, the case study chosen for the simulation is a population of domestic water distribution system water towers with pumps whose operation can be coordinated with the hourly electricity prices from the day-ahead spot market. The simulation results show that tower/pump pairs on water distribution systems with higher water demands adopt the implicit DR solution faster. The pumping rate and tank capacities do not have significant impact on the adoption, at least not if they are beyond a certain size. Meanwhile, the simulation also finds the maximum investment cost for the implicit DR solution to be 71,000 DKK, if half of a water tower population must adopt the solution within a 5-year ROI period. © 2020 IEEE.</t>
  </si>
  <si>
    <t>Costs; Economics; Electric power utilization; Investments; Solar energy; Water distribution systems; Water towers; Agent based simulation; Agent-based simulation models; Electricity consumers; Electricity production; Energy management technologies; Industrial processs; Renewable energy source; Wind and solar power; Reservoirs (water)</t>
  </si>
  <si>
    <t>2-s2.0-85082577578</t>
  </si>
  <si>
    <t>Ding K., Gilligan J.M., Hornberger G.M.</t>
  </si>
  <si>
    <t>57210991778;7006375009;7005737153;</t>
  </si>
  <si>
    <t>Avoiding day-zero: A Testbed for Evaluating Integrated Food-energy-water Management in Cape Town, South Africa</t>
  </si>
  <si>
    <t>Proceedings - Winter Simulation Conference</t>
  </si>
  <si>
    <t>2019-December</t>
  </si>
  <si>
    <t>9004889</t>
  </si>
  <si>
    <t>10.1109/WSC40007.2019.9004889</t>
  </si>
  <si>
    <t>https://www.scopus.com/inward/record.uri?eid=2-s2.0-85081135564&amp;doi=10.1109%2fWSC40007.2019.9004889&amp;partnerID=40&amp;md5=c43e8a5afdbb56dbaa24f86d2c6f0613</t>
  </si>
  <si>
    <t>Deep connections between water resources and food and energy production - the food-energy-water (FEW) nexus - complicate the challenge of sustainably managing an uncertain water supply. We present an agent-based model as a testbed for studying different approaches to managing the FEW nexus and apply the model to the 2017-2018 water crisis in Cape Town, South Africa. We treat the FEW nexus connecting municipal water use by urban residents, agricultural water use by vineyards, and hydroelectric generation from reservoirs. We compare two scenarios for responding to drought: business-as-usual (BAU), and holistic-adaptive management (HAM), where BAU takes no action until the monthly supply is insufficient to meet demand, whereas HAM takes action by raising water tariffs when the reservoir storage level drops below its pre-drought monthly average. Simulation results suggest that holistic-adaptive management can alleviate the impact of drought on agricultural production, hydropower generation, and the availability of water for residential consumption. © 2019 IEEE.</t>
  </si>
  <si>
    <t>Agriculture; Autonomous agents; Computational methods; Drought; Reservoir management; Testbeds; Water management; Water supply; Adaptive Management; Agricultural productions; Agricultural water use; Cape Town , South Africa; Energy productions; Hydro-power generation; Hydroelectric generation; Residential consumption; Reservoirs (water)</t>
  </si>
  <si>
    <t>2-s2.0-85081135564</t>
  </si>
  <si>
    <t>Koutiva I., Makropoulos C.</t>
  </si>
  <si>
    <t>55982337100;55953606300;</t>
  </si>
  <si>
    <t>Exploring the effects of alternative water demand management strategies using an agent-based model</t>
  </si>
  <si>
    <t>2216</t>
  </si>
  <si>
    <t>10.3390/w11112216</t>
  </si>
  <si>
    <t>https://www.scopus.com/inward/record.uri?eid=2-s2.0-85075587379&amp;doi=10.3390%2fw11112216&amp;partnerID=40&amp;md5=584096dd7623a74996add7835f465907</t>
  </si>
  <si>
    <t>Integrated urban water management calls for tools that can analyze and simulate the complete cycle including the physical, technical, and social dimensions. Scientific advances created simulation tools able to simulate the urban water cycle as realistically as possible. However, even these tools cannot effectively simulate the social component and quantify how behaviors are shaped by external stress factors, such as climate and policies. In this work, an agent-based modeling tool, urban water agents' behavior (UWAB) is used to simulate the water demand behavior of households and how it is influenced by water demand management strategies and drought conditions. UWAB was applied in Athens, Greece to explore the effect of different water demand management strategies to the reliability of the Athens hydrosystem. The results illustrate the usability of UWAB to support decision makers in identifying how "strict" water demand management measures are needed and when and for how long to deploy them in order to alleviate potential water supply issues. © 2019 by the authors.</t>
  </si>
  <si>
    <t>Agent-based modeling; Scenarios testing and assessment; Urban water management; Water demand management</t>
  </si>
  <si>
    <t>Autonomous agents; Computational methods; Simulation platform; Water management; Water supply; Agent-based model; Drought conditions; Integrated urban water management; Potential water supply; Scientific advances; Testing and assessments; Urban water management; Water Demand Management; Decision making; drought stress; hydrological modeling; scenario analysis; urban area; water demand; water management; water stress; water supply; Athens [Attica]; Attica; Greece</t>
  </si>
  <si>
    <t>2-s2.0-85075587379</t>
  </si>
  <si>
    <t>Starke M., Munk J., Zandi H., Kuruganti T., Buckberry H., Hall J., Leverette J.</t>
  </si>
  <si>
    <t>35219122000;55191078800;57211788579;15045112300;57212676832;57214784263;57212673543;</t>
  </si>
  <si>
    <t>Agent-Based System for Transactive Control of Smart Residential Neighborhoods</t>
  </si>
  <si>
    <t>IEEE Power and Energy Society General Meeting</t>
  </si>
  <si>
    <t>2019-August</t>
  </si>
  <si>
    <t>8973476</t>
  </si>
  <si>
    <t>10.1109/PESGM40551.2019.8973476</t>
  </si>
  <si>
    <t>https://www.scopus.com/inward/record.uri?eid=2-s2.0-85077326292&amp;doi=10.1109%2fPESGM40551.2019.8973476&amp;partnerID=40&amp;md5=48b35da0e8631913da80db553779158d</t>
  </si>
  <si>
    <t>Buildings consume 74% of the total electricity produced in the United States. A significant portion of the building electric load includes heating ventilation and air-conditioning (HVAC) systems and water heating (WH) systems. Enabling flexibility in the operations can improve overall electric grid efficiency. This paper describes a multi-agent system for supporting integration, learning, optimization, and control of HVAC and WH in supporting a future smart grid. The architecture supports a transactive-based negotiation strategy between homeowners and a microgrid controller to adjust consumption behavior and reduce electricity costs. The framework is deployed in a neighborhood and preliminary testing is underway. The agent architecture design is discussed along with the preliminary optimization results from the demonstration site. © 2019 IEEE.</t>
  </si>
  <si>
    <t>agents; demand management; grid-interactive; IoT; transactive</t>
  </si>
  <si>
    <t>Agents; Air conditioning; Costs; Electric load management; Electric loads; HVAC; Microgrids; Multi agent systems; Structural design; Agent architectures; Agent-based systems; grid-interactive; Heating ventilation and air conditioning; Negotiation strategy; Residential neighborhoods; transactive; Transactive controls; Electric power transmission networks</t>
  </si>
  <si>
    <t>2-s2.0-85077326292</t>
  </si>
  <si>
    <t>Kang J.-Y., Aldstadt J.</t>
  </si>
  <si>
    <t>57195056519;16743653200;</t>
  </si>
  <si>
    <t>Examining time-dependent effects of water, sanitation, and hygiene (WASH) interventions using an agent-based model</t>
  </si>
  <si>
    <t>Tropical Medicine and International Health</t>
  </si>
  <si>
    <t>24</t>
  </si>
  <si>
    <t>10.1111/tmi.13280</t>
  </si>
  <si>
    <t>https://www.scopus.com/inward/record.uri?eid=2-s2.0-85068365824&amp;doi=10.1111%2ftmi.13280&amp;partnerID=40&amp;md5=b3540973772f41d1822385c047c84494</t>
  </si>
  <si>
    <t>The effects of water, sanitation, and hygiene (WASH) interventions have been well acknowledged to reduce the risk from diarrheal disease-causing pathogens. In spite of the recognized importance of WASH interventions on the reduction of diarrheal disease, there are still gaps in the understanding of the time-varying effects of interventions. To bridge this research gap, we developed agent-based models (ABMs) of diarrheal disease transmission in a community context. In the model, infections occur via two pathways: (i) between household members within the household environment and (ii) from the community environment outside the household. To measure the effectiveness of WASH interventions, we performed global sensitivity analysis (GSA) at the macro and micro temporal scales, varying the level of intervention coverage in the community. We simulated three intervention strategies, implemented separately in the experiments. The clean drinking water intervention, sanitation intervention, and hand washing intervention had similar success rates in the long-term. The handwashing intervention had the largest immediate effect. This highlights that proper short- and long-term intervention strategies need to be considered for disease control and the effective management of limited resources. © 2019 John Wiley &amp; Sons Ltd</t>
  </si>
  <si>
    <t>agent-based model; diarrheal disease; sensitivity analysis; time-dependent effects; wash intervention</t>
  </si>
  <si>
    <t>drinking water; diarrheal disease; disease control; disease transmission; drinking water; health risk; hygiene; infectious disease; research work; sanitation; sensitivity analysis; time dependent behavior; agent based model; Article; clinical effectiveness; community; diarrhea; disease control; disease transmission; hand washing; household; human; intervention study; model; safety procedure; sanitation; sensitivity analysis; temporal analysis; validation study; water sanitation and hygiene intervention; hand disinfection; hygiene; microbiology; procedures; Diarrhea; Drinking Water; Hand Disinfection; Humans; Hygiene; Sanitation</t>
  </si>
  <si>
    <t>2-s2.0-85068365824</t>
  </si>
  <si>
    <t>2019 Iranian Conference on Renewable Energy and Distributed Generation, ICREDG 2019</t>
  </si>
  <si>
    <t>https://www.scopus.com/inward/record.uri?eid=2-s2.0-85087750305&amp;partnerID=40&amp;md5=5fad828da718d6b1c0d306312afcd99a</t>
  </si>
  <si>
    <t>The proceedings contain 49 papers. The topics discussed include: provides a new method for detecting and retrieving small scale generators; design of the hybrid harmonic filter to improve power quality of the grid connected hybrid renewable energy system; effect of solidity on the performance of micro-scale darrieus wind turbines: an experimental study; optimal management of distributed generations in a residential complex using cuckoo search algorithm; modeling and evaluation of small rooftop photovoltaic effects on reliability indices of distribution system considering customers type; decentralized adaptive protection structure for microgrids based on multiagent systems; performance comparison of the 1.2 megawatt photovoltaic power plant with a hybrid concentrated solar power/fossil fuel system in Iran; design and development of a solar water cooling system; and retail electricity pricing impacts on demand response and electrical vehicles planning in residential micro-grid.</t>
  </si>
  <si>
    <t>2-s2.0-85087750305</t>
  </si>
  <si>
    <t>Cheng K., Wei S., Fu Q., Pei W., Li T.</t>
  </si>
  <si>
    <t>Adaptive management of water resources based on an advanced entropy method to quantify agent information</t>
  </si>
  <si>
    <t>Journal of Hydroinformatics</t>
  </si>
  <si>
    <t>21</t>
  </si>
  <si>
    <t>10.2166/hydro.2019.007</t>
  </si>
  <si>
    <t>https://www.scopus.com/inward/record.uri?eid=2-s2.0-85073048931&amp;doi=10.2166%2fhydro.2019.007&amp;partnerID=40&amp;md5=51e63db5a2b749f1b18cace193b59651</t>
  </si>
  <si>
    <t>Adaptive management is currently an important method to optimize the management of complex water resources systems. Regional water resources adaptive management was conducted based on the advanced theory of a complex system multi-agent model; the state of an agent was tracked and modified by information entropy theory, which was improved by using individual standard deviations. With the goal of optimizing the adaptation of each agent of the region, water resources in the major grain production area of China were managed under the constraints of the total annual available water resources and water use efficiency requirements for 2015 and 2030. By introducing the adaptive water resources management in 2015, the domestic benefits and economic benefits increased by 2.90% and 14.81%, respectively, with respect to observed values. The ecological benefits declined by 3.63%, but ecological water demand was fully satisfied, and the ecological water environment was improved. Given the water use efficiency targets in 2030, applying adaptive management resulted in an increase of domestic, economic, and ecological benefits of 34.29%, 21.14%, and 1.78%, respectively. The results show that the adaptive management method presented can help managers to balance the benefits of various agents to determine the direction of water resources management decisions. © IWA Publishing 2019</t>
  </si>
  <si>
    <t>Information entropy; Simulation method; Uncertainty; Water resources; | adaptive agent</t>
  </si>
  <si>
    <t>Review</t>
  </si>
  <si>
    <t>2-s2.0-85073048931</t>
  </si>
  <si>
    <t>Kandiah V.K., Berglund E.Z., Binder A.R.</t>
  </si>
  <si>
    <t>55355710500;56394090200;26533935700;</t>
  </si>
  <si>
    <t>An agent-based modeling approach to project adoption of water reuse and evaluate expansion plans within a sociotechnical water infrastructure system</t>
  </si>
  <si>
    <t>Sustainable Cities and Society</t>
  </si>
  <si>
    <t>46</t>
  </si>
  <si>
    <t>101412</t>
  </si>
  <si>
    <t>10.1016/j.scs.2018.12.040</t>
  </si>
  <si>
    <t>https://www.scopus.com/inward/record.uri?eid=2-s2.0-85060707394&amp;doi=10.1016%2fj.scs.2018.12.040&amp;partnerID=40&amp;md5=a79dc003e5c7c4b4b228f3b0d44bd4a9</t>
  </si>
  <si>
    <t>The introduction of water reuse infrastructure into an existing water supply system is a complex sociotechnical process. For a dual reticulation program, infrastructure designs affect adoption, as the expansion of infrastructure defines when a household can adopt and become active in communicating about water reuse. This research develops a coupled framework to capture the dynamics among consumer adoption and infrastructure expansion. An agent-based modeling approach is used to simulate opinion dynamics within a risk publics framework, which is based on the social amplification of risk and captures changes in perceptions about the risks and benefits of water reuse. The model is applied to simulate and project adoption of water reuse for the Town of Cary, North Carolina, using data about new water reclamation accounts and plans for infrastructure expansion. Performance of the agent-based model is compared with a cellular automata model for simulating historic data. Alternative infrastructure expansion schedules are simulated using the agent-based model to evaluate potable water savings and utilization of reclaimed water capacity, based on adoption projections. The framework provides a sociotechnical approach to evaluate development plans for infrastructure systems that rely on adoption of infrastructure-dependent technologies. © 2019 Elsevier Ltd</t>
  </si>
  <si>
    <t>Complex adaptive system; Diffusion of innovations; Dual water system; Eco-innovation; Sociotechnical transition; Urban water management; Water reuse</t>
  </si>
  <si>
    <t>Autonomous agents; Computational methods; Computer software reusability; Expansion; Potable water; Risk perception; Simulation platform; Wastewater reclamation; Water management; Water supply; Water supply systems; Complex adaptive systems; Diffusion of innovations; Eco-innovation; Socio-technical transitions; Urban water management; Water reuse; Water system; Water conservation</t>
  </si>
  <si>
    <t>2-s2.0-85060707394</t>
  </si>
  <si>
    <t>Aguirre F., Magnago F., Alemany J.</t>
  </si>
  <si>
    <t>56340243600;56341583100;27367510700;</t>
  </si>
  <si>
    <t>Constructing Hot Water Load Profile: An Agent-Based Modeling Approach</t>
  </si>
  <si>
    <t>IEEE Transactions on Sustainable Energy</t>
  </si>
  <si>
    <t>8386684</t>
  </si>
  <si>
    <t>10.1109/TSTE.2018.2847673</t>
  </si>
  <si>
    <t>https://www.scopus.com/inward/record.uri?eid=2-s2.0-85048641069&amp;doi=10.1109%2fTSTE.2018.2847673&amp;partnerID=40&amp;md5=74eb3216f58ec2bc620e4a5f51bbb49a</t>
  </si>
  <si>
    <t>This paper proposes a flexible framework to analyze typical hot water demand consumption in households and to explore the impact of the consumer's behavior due to economic stimulus. The proposed model studies typical home scenarios such as a family, couples, and single people. It allows desegregating the demand based on the utilization. The results presented in this paper can be used to optimize the control of water heaters, increasing their efficiency and reducing their electrical consumption. © 2018 IEEE.</t>
  </si>
  <si>
    <t>ABM; Demand response; domestic hot water consumption; energy performance; residential consumption</t>
  </si>
  <si>
    <t>Autonomous agents; Computational methods; Consumer behavior; Heating; Hot water distribution systems; Mathematical models; Random processes; Stochastic models; Stochastic systems; Water; Biological system modeling; Computational model; Demand response; Domestic hot water; Energy performance; Load modeling; Object oriented model; Residential consumption; Water heating; Biological systems</t>
  </si>
  <si>
    <t>2-s2.0-85048641069</t>
  </si>
  <si>
    <t>Kazmi H., Suykens J., Balint A., Driesen J.</t>
  </si>
  <si>
    <t>57189214664;7006637856;57205543287;7004047047;</t>
  </si>
  <si>
    <t>Multi-agent reinforcement learning for modeling and control of thermostatically controlled loads</t>
  </si>
  <si>
    <t>238</t>
  </si>
  <si>
    <t>10.1016/j.apenergy.2019.01.140</t>
  </si>
  <si>
    <t>https://www.scopus.com/inward/record.uri?eid=2-s2.0-85060471856&amp;doi=10.1016%2fj.apenergy.2019.01.140&amp;partnerID=40&amp;md5=cc118d7167077fee82f657f3c7f5569f</t>
  </si>
  <si>
    <t>Increasing energy efficiency of thermostatically controlled loads has the potential to substantially reduce domestic energy demand. However, optimizing the efficiency of thermostatically controlled loads requires either an existing model or detailed data from sensors to learn it online. Often, neither is practical because of real-world constraints. In this paper, we demonstrate that this problem can benefit greatly from multi-agent learning and collaboration. Starting with no thermostatically controlled load specific information, the multi-agent modelling and control framework is evaluated over an entire year of operation in a large scale pilot in The Netherlands, constituting over 50 houses, resulting in energy savings of almost 200 kW h per household (or 20% of the energy required for hot water production). Theoretically, these savings can be even higher, a result also validated using simulations. In these experiments, model accuracy in the multi-agent frameworks scales linearly with the number of agents and provides compelling evidence for increased agency as an alternative to additional sensing, domain knowledge or data gathering time. In fact, multi-agent systems can accelerate learning of a thermostatically controlled load's behaviour by multiple orders of magnitude over single-agent systems, enabling active control faster. These findings hold even when learning is carried out in a distributed manner to address privacy issues arising from multi-agent cooperation. © 2019 Elsevier Ltd</t>
  </si>
  <si>
    <t>Distributed learning; Domestic hot water storage vessel; Heat pumps; Multi agent reinforcement learning; Optimal control; Thermostatically controlled loads</t>
  </si>
  <si>
    <t>Digital storage; Energy efficiency; Heating; Learning systems; Reinforcement learning; Water; Distributed learning; Domestic hot water; Heat pumps; Multi-agent reinforcement learning; Optimal controls; Thermostatically controlled loads; Multi agent systems; algorithm; control system; energy efficiency; experimental study; modeling; operations technology; simulation; vessel; Netherlands</t>
  </si>
  <si>
    <t>2-s2.0-85060471856</t>
  </si>
  <si>
    <t>A Survey Analysis and Model Development for Internet of Things (IoT) System for City Buildings: Dhaka City, Bangladesh Perspective</t>
  </si>
  <si>
    <t>IEEE Region 10 Annual International Conference, Proceedings/TENCON</t>
  </si>
  <si>
    <t>2018-October</t>
  </si>
  <si>
    <t>8650443</t>
  </si>
  <si>
    <t>10.1109/TENCON.2018.8650443</t>
  </si>
  <si>
    <t>https://www.scopus.com/inward/record.uri?eid=2-s2.0-85063201797&amp;doi=10.1109%2fTENCON.2018.8650443&amp;partnerID=40&amp;md5=8e57e2003de837a72a1681be418edad1</t>
  </si>
  <si>
    <t>Confirmed by CDMP's Urban Risk Reduction Specialists, there are 3, 26, 000 (appx.) buildings (including residential, commercial, residential cum commercial, commercial cum residential, non-residential, government etc.) in Dhaka City [1]. One of the steps for digitalization of a city is introducing smart building management, which refers to a cyber-physical system automating building operations. Among many operations the research inspection here is focused on the safety, water and energy management of city building. Three types of buildings are considered-residential, non-residential, and corporate. Another important intention of this research is to conduct this survey, which will reflect customer demand, market, building management problems and probable solutions. One Hundred and one numbers of buildings of Dhaka City had been surveyed. It is found that a system which cost around 10,000-20,000 BDT (120 US Dollar-239 US Dollar), with energy, water, safety management service (mainly focusing on safety) integrating with rent management will have greater acceptance to the consumers, while initiating IoT building management service. With this survey also some interesting ideas, demand points are revealed which can be valuable in case of IoT deployment in City areas of Bangladesh. © 2018 IEEE.</t>
  </si>
  <si>
    <t>Cyber-Physical system; Internet of Things; Multi-agent system; Survey</t>
  </si>
  <si>
    <t>Cyber Physical System; Embedded systems; Housing; Multi agent systems; Safety engineering; Surveying; Surveys; Building management; Building operations; Customer demands; Internet of Things (IOT); Safety management; Survey analysis; Urban risk; Water and energies; Internet of things</t>
  </si>
  <si>
    <t>2-s2.0-85063201797</t>
  </si>
  <si>
    <t>Zozmann H., Klassert C., Sigel K., Gawel E., Klauer B.</t>
  </si>
  <si>
    <t>57205656273;55797570700;10244151500;6505918661;57191781642;</t>
  </si>
  <si>
    <t>Commercial tanker water demand in Amman, Jordan-A spatial simulation model of water consumption decisions under intermittent network supply</t>
  </si>
  <si>
    <t>254</t>
  </si>
  <si>
    <t>10.3390/w11020254</t>
  </si>
  <si>
    <t>https://www.scopus.com/inward/record.uri?eid=2-s2.0-85060968708&amp;doi=10.3390%2fw11020254&amp;partnerID=40&amp;md5=2bed3fc1b33134f2d1acf1481d80a132</t>
  </si>
  <si>
    <t>The Hashemite Kingdom of Jordan is confronted with a severe freshwater crisis shaped by excess water demand and intermittent public supply. In Jordan's capital and most populous city, Amman, the pervasive water shortage gave rise to private tanker water operations, which transport groundwater from wells in the vicinity of the city and sell it to urban consumers. These tanker water markets have received little attention in the literature up to date, particularly with regard to their relevance for commercial water users. This paper aims to empirically estimate the water demand of commercial establishments in Amman under public supply rationing and to assess to which extent tanker operations contribute to meeting commercial water needs. Building on a prior simulation model of residential water consumption, the results of three extensive surveys concerned with tanker water markets and various geographic data, we develop a spatial agent-based model of the water consumption behavior of commercial establishments in different sizes. According to our estimation, 35-45% of the overall water volume consumed by the commercial sector stems from tanker operations, depending on the season. We find that the local disparities in access to affordable network water, along with the dispersion of groundwater wells around the city, result in considerable spatial differences in tanker water consumption. The outcome of this analysis could be relevant for policy attempting to enhance freshwater sustainability in Jordan. © 2019 by the authors.</t>
  </si>
  <si>
    <t>Agent-based modeling; Commercial water consumption; Freshwater sustainability; Intermittent supply; Tanker water</t>
  </si>
  <si>
    <t>Autonomous agents; Commerce; Computational methods; Groundwater; Simulation platform; Sustainable development; Urban transportation; Water supply; Agent-based model; Commercial establishments; Commercial tankers; Commercial waters; Intermittent networks; Intermittent supply; Spatial agent-based models; Spatial differences; Water management; consumption behavior; demand analysis; empirical analysis; groundwater flow; spatial analysis; sustainability; water demand; water industry; water storage; water supply; water use; well water; Amman; Jordan</t>
  </si>
  <si>
    <t>2-s2.0-85060968708</t>
  </si>
  <si>
    <t>Alvi M.S.Q., Mahmood I., Javed F., Malik A.W., Sarjoughian H.</t>
  </si>
  <si>
    <t>57207582785;57205856715;25960104800;8402927500;6701570994;</t>
  </si>
  <si>
    <t>Dynamic behavioural modeling, simulation and analysis of household water consumption in an urban area: A hybrid approach</t>
  </si>
  <si>
    <t>2018-December</t>
  </si>
  <si>
    <t>8632309</t>
  </si>
  <si>
    <t>10.1109/WSC.2018.8632309</t>
  </si>
  <si>
    <t>https://www.scopus.com/inward/record.uri?eid=2-s2.0-85062630797&amp;doi=10.1109%2fWSC.2018.8632309&amp;partnerID=40&amp;md5=5a80269d6e01abf5ec1690cbd1b2816c</t>
  </si>
  <si>
    <t>Pakistan is rapidly becoming a water stressed country, thus affecting people's well-being. Authorities are faced with making drastic water conservation policies toward achieving effective management of available water resources and efficient water supply delivery coupled with responsible demand side management. Due to the lack of modern water metering in Pakistan, water consumption is not being accurately monitored. To achieve this goal, we propose a hybrid modeling and simulation framework, consisting of: (i) Agent-Based Modeling (ABM) paradigm that deals with the behavior and characteristics of individuals and (ii) System Dynamics(SD) paradigm that accounts for water flow dynamics. Our approach provides dual-resolution expressiveness suitable for replicating real-world urban infrastructure scenarios. The key objective of the research is to assist authorities to understand and forecast short-term and long-term water consumption through examining varying patterns of water consumption in different climates and thus improving demand side water usage dynamically subject to water supply availability. © 2018 IEEE</t>
  </si>
  <si>
    <t>Autonomous agents; Computational methods; Electric utilities; Flow of water; Water conservation; Water resources; Agent-based model; Behavioural model; Conservation policy; Effective management; Simulation and analysis; Urban infrastructure; Water consumption; Water stressed countries; Water supply</t>
  </si>
  <si>
    <t>2-s2.0-85062630797</t>
  </si>
  <si>
    <t>Albouys-Perrois J., Sabouret N., Haradji Y., Schumann M., Inard C.</t>
  </si>
  <si>
    <t>57202047815;11139849400;35221589100;55907265100;56003967400;</t>
  </si>
  <si>
    <t>A co simulation of photovoltaic power generation and human activity for smart building energy management and energy sharing</t>
  </si>
  <si>
    <t>Building Simulation Conference Proceedings</t>
  </si>
  <si>
    <t>https://www.scopus.com/inward/record.uri?eid=2-s2.0-85107370210&amp;partnerID=40&amp;md5=4028ded3e401d69b912b01050e4d237f</t>
  </si>
  <si>
    <t>We present a framework and a model for the simulation of collective energy self-consumption strongly coupled to occupant activity in households. The model combines multi-agent simulation of human activity, a dynamic model of building energy including Domestic Hot Water (DHW) and all electrical appliances, and local generation of photovoltaic energy. A cooperative energy exchange policy between households was defined in order to maximise the use of locally generated PV electricity at the neighbourhood scale. In this first implementation, three households А, В and С were simulated, one being the PV energy producer. The DHW model was modified to benefit from PV electricity. Thanks to the energy exchange policy, a total of 83% of the energy generated by household A is used locally in the neighbourhood (compared to 38% when there are no energy exchanges with household В and C). The next step of this study is to add a model of energy storage in several self-consumption configurations. © 2019 Building Simulation Conference Proceedings. All rights reserved.</t>
  </si>
  <si>
    <t>Domestic appliances; Electric energy storage; Intelligent buildings; Multi agent systems; Photovoltaic cells; Solar power plants; Building energy managements; Cooperative energies; Domestic hot water; Electrical appliances; Multi agent simulation; Occupant activities; Photovoltaic energy; Photovoltaic power generation; Solar power generation</t>
  </si>
  <si>
    <t>2-s2.0-85107370210</t>
  </si>
  <si>
    <t>Al-Amin S., Berglund E.Z., Mahinthakumar G., Larson K.L.</t>
  </si>
  <si>
    <t>55946392500;56394090200;57202986260;7102155246;</t>
  </si>
  <si>
    <t>Assessing the effects of water restrictions on socio-hydrologic resilience for shared groundwater systems</t>
  </si>
  <si>
    <t>Journal of Hydrology</t>
  </si>
  <si>
    <t>566</t>
  </si>
  <si>
    <t>10.1016/j.jhydrol.2018.08.045</t>
  </si>
  <si>
    <t>https://www.scopus.com/inward/record.uri?eid=2-s2.0-85054375638&amp;doi=10.1016%2fj.jhydrol.2018.08.045&amp;partnerID=40&amp;md5=5539bd5ec3e597a85994e3e311217c8b</t>
  </si>
  <si>
    <t>Groundwater resources are shared across management boundaries. Multiple management units that differ in scale, constraints and objectives may manage a shared resource in a decentralized approach. The interactions among water managers, water users, and the water resource components influence the performance of management strategies and the resilience of community-level water supply and groundwater availability. This research develops an agent-based modeling (ABM) framework to capture the dynamic interactions among household-level consumers and policy makers to simulate water demands. The ABM is coupled with a groundwater model to evaluate effects on the groundwater table. The framework is applied to explore trade-offs between improvements in water supply sustainability for local resources and water table changes at the basin-level. A group of municipalities are simulated as agents who share access to a groundwater aquifer in Verde River Basin, Arizona. The framework provides a holistic approach to incorporate water user, municipal, and basin level objectives in evaluating water reduction strategies for long-term water resilience. © 2018 Elsevier B.V.</t>
  </si>
  <si>
    <t>Agent-based model; Complex adaptive system; Demand management; Groundwater management; Sustainability index; Water shortage</t>
  </si>
  <si>
    <t>Adaptive systems; Aquifers; Autonomous agents; Computational methods; Economic and social effects; Electric load management; Sustainable development; Water management; Water supply; Agent-based model; Complex adaptive systems; Groundwater management; Sustainability index; Water shortages; Groundwater resources; accuracy assessment; aquifer; assessment method; groundwater; groundwater resource; holistic approach; hydrological modeling; index method; policy making; resource management; strategic approach; sustainability; water availability; water management; water resource; water supply; water table; Arizona; United States; Verde River [Arizona]</t>
  </si>
  <si>
    <t>2-s2.0-85054375638</t>
  </si>
  <si>
    <t>Deng C., Wang H., Zhang W., Jiao Z.</t>
  </si>
  <si>
    <t>57212499491;56845942800;57203638518;57200002397;</t>
  </si>
  <si>
    <t>Optimizing policy for balanced industrial profit and water pollution control under a complex socioecological system using a multiagent-based model</t>
  </si>
  <si>
    <t>9</t>
  </si>
  <si>
    <t>1139</t>
  </si>
  <si>
    <t>10.3390/w10091139</t>
  </si>
  <si>
    <t>https://www.scopus.com/inward/record.uri?eid=2-s2.0-85052493113&amp;doi=10.3390%2fw10091139&amp;partnerID=40&amp;md5=03dd4d2a389e4cfbd5334008546b50a1</t>
  </si>
  <si>
    <t>Water pollution is a prominent and urgent environmental problem that represents a significant challenge in solving the water resource crisis. The ability to choose an optimal environmental policy can provide support for decision makers to effectively control water pollution. This study presents an agent-based model (ABM) approach involving two classes of agents, agricultural household agents and factory agents, to simulate pollutant discharge, and discusses the effectiveness of the whole system and subsystems under multiple policy scenarios involving a combination of environmental tax (ET) and payments for environmental services (PES). This idea is applied to the Shanmei Reservoir watershed, one of the important reservoirs watersheds in China. The results showed that: (1) the ABM represented well pollutant discharge scenarios where Nash coefficient (NSE) values were greater than 0.76; (2) though ET and PES policies were both effective in reducing water pollution, PES was more effective at reducing pollution from households, while ET was more effective at controlling industrial pollution emissions; (3) considering the environmental costs and general effect of the system, a medium degree of PES for agricultural household agents and a medium degree of ET for factory agents were found to be optimal for controlling water pollution in this watershed. A differential compensation mechanism and the introduction of market incentives were recommended to reduce the financial burden of the government. The results also demonstrated that ABM was helpful for choosing an effective policy to control pollution emissions and realizing environmental objectives and socio-economic co-benefits. The model structure and parameters should be optimized in specific cases because of the uncertainty of partial parameters and the neglect of the consumption process. These findings could be helpful for providing guidelines for water pollution control and sustainable water management in China. © 2018 by the author.</t>
  </si>
  <si>
    <t>Agent-based model; Environmental tax; Payments for environmental services; Policy scenarios; Water pollution</t>
  </si>
  <si>
    <t>Agriculture; Autonomous agents; Computational methods; Decision making; Environmental protection; Industrial emissions; Oil spills; Reservoirs (water); Water conservation; Water management; Water pollution; Watersheds; Agent-based model; Environmental objectives; Environmental taxes; Multi-agent based modeling; Payments for environmental services; Policy scenario; Socio-ecological systems; Sustainable water management; Water pollution control; ecosystem service; emission inventory; environmental economics; environmental policy; environmental tax; industrial emission; optimization; pollution control; pollution policy; water pollution; water resource; watershed; China; Fujian; Shanmei Reservoir</t>
  </si>
  <si>
    <t>2-s2.0-85052493113</t>
  </si>
  <si>
    <t>Rasoulkhani K., Logasa B., Reyes M.P., Mostafavi A.</t>
  </si>
  <si>
    <t>57201372382;57201376623;57201384852;57202661272;</t>
  </si>
  <si>
    <t>Understanding fundamental phenomena affecting the water conservation technology adoption of residential consumers using agent-based modeling</t>
  </si>
  <si>
    <t>993</t>
  </si>
  <si>
    <t>10.3390/w10080993</t>
  </si>
  <si>
    <t>https://www.scopus.com/inward/record.uri?eid=2-s2.0-85051112590&amp;doi=10.3390%2fw10080993&amp;partnerID=40&amp;md5=f05c9e2defb7c004212a780e64e7df79</t>
  </si>
  <si>
    <t>More than one billion people will face water scarcity within the next ten years due to climate change and unsustainable water usage, and this number is only expected to grow exponentially in the future. At current water use rates, supply-side demand management is no longer an effective way to combat water scarcity. Instead, many municipalities and water agencies are looking to demand-side solutions to prevent major water loss. While changing conservation behavior is one demand-based strategy, there is a growing movement toward the adoption of water conservation technology as a way to solve water resource depletion. Installing technology into one's household requires additional costs and motivation, creating a gap between the overall potential households that could adopt this technology, and how many actually do. This study identified and modeled a variety of demographic and household characteristics, social network influence, and external factors such as water price and rebate policy to see their effect on residential water conservation technology adoption. Using Agent-based Modeling and data obtained from the City of Miami Beach, the coupled effects of these factors were evaluated to examine the effectiveness of different pathways towards the adoption of more water conservation technologies. The results showed that income growth and water pricing structure, more so than any of the demographic or building characteristics, impacted household adoption of water conservation technologies. The results also revealed that the effectiveness of rebate programs depends on conservation technology cost and the affluence of the community. Rebate allocation did influence expensive technology adoption, with the potential to increase the adoption rate by 50%. Additionally, social network connections were shown to have an impact on the rate of adoption independent of price strategy or rebate status. These findings will lead the way for municipalities and other water agencies to more strategically implement interventions to encourage household technology adoption based on the characteristics of their communities. © 2018 by the authors.</t>
  </si>
  <si>
    <t>Agent-based modeling; Social networks; Technology diffusion; Water conservation</t>
  </si>
  <si>
    <t>Autonomous agents; Behavioral research; Climate change; Computational methods; Historic preservation; Housing; Population statistics; Social networking (online); Social sciences computing; Water conservation; Water resources; Agent-based model; Building characteristics; Conservation technologies; Household technologies; Residential consumers; Resource depletion; Technology adoption; Technology diffusion; Economic and social effects; climate change; household survey; numerical model; price dynamics; resident population; resource allocation; resource scarcity; social network; supply chain management; technology adoption; water demand; water management; water supply; water use; Florida [United States]; Miami; United States</t>
  </si>
  <si>
    <t>2-s2.0-85051112590</t>
  </si>
  <si>
    <t>Castonguay A.C., Urich C., Iftekhar M.S., Deletic A.</t>
  </si>
  <si>
    <t>57195602447;36099411100;23392776200;6602509848;</t>
  </si>
  <si>
    <t>Modelling urban water management transitions: A case of rainwater harvesting</t>
  </si>
  <si>
    <t>Environmental Modelling and Software</t>
  </si>
  <si>
    <t>105</t>
  </si>
  <si>
    <t>10.1016/j.envsoft.2018.05.001</t>
  </si>
  <si>
    <t>https://www.scopus.com/inward/record.uri?eid=2-s2.0-85047009701&amp;doi=10.1016%2fj.envsoft.2018.05.001&amp;partnerID=40&amp;md5=7fa12b58a6d42c579f4fe0758eb03718</t>
  </si>
  <si>
    <t>A promising way to address the growing demand for water supply and improve the liveability of cities is to invest in decentralised multifunctional urban water technologies. However, the adoption of multifunctional water technologies is a complex issue that requires cross-disciplinary approaches. This paper uses an agent-based model that integrates economic and environmental factors to explore and simulate the decision-making and interactions of two types of agents: a regulator and households. The model is applied to evaluate strategies to increase the adoption of rainwater tanks in a suburb of Melbourne, a city that has often suffered from severe droughts. The model was able to replicate the uptake of rainwater tanks by households for 2005-2014, the period known as the ‘Millennium Drought’. Results indicate that using economic instruments alone may have been insufficient to promote the adoption of rainwater tanks, and that water restrictions have had a major impact on the uptake. © 2018 Elsevier Ltd</t>
  </si>
  <si>
    <t>Agent-based model; Environmental policies; Rainwater harvesting; Sustainable urban water systems; Technology adoption</t>
  </si>
  <si>
    <t>Autonomous agents; Behavioral research; Computational methods; Decision making; Drought; Environmental protection; Rain; Tanks (containers); Water management; Water supply; Agent-based model; Environmental policy; Rain water harvesting; Technology adoption; Urban water systems; Environmental technology; decision making; demand analysis; drought; economic analysis; environmental factor; rainwater; strategic approach; water management; water supply; water technology; Australia; Melbourne; Victoria [Australia]</t>
  </si>
  <si>
    <t>2-s2.0-85047009701</t>
  </si>
  <si>
    <t>Moglia M., Podkalicka A., McGregor J.</t>
  </si>
  <si>
    <t>8709496900;26036749900;37050060800;</t>
  </si>
  <si>
    <t>An agent-based model of residential energy efficiency adoption</t>
  </si>
  <si>
    <t>JASSS</t>
  </si>
  <si>
    <t>10.18564/jasss.3729</t>
  </si>
  <si>
    <t>https://www.scopus.com/inward/record.uri?eid=2-s2.0-85049947338&amp;doi=10.18564%2fjasss.3729&amp;partnerID=40&amp;md5=def5b79b235dacb127c39a6d5a6883ec</t>
  </si>
  <si>
    <t>This paper reports on an Agent-Based Model. The purpose of developing this model is to describe ‘the uptake of low carbon and energy efficient technologies and practices by households and under different interventions’. There is a particular focus on modelling non-financial incentives as well as the influence of social networks as well as the decision making by multiple types of agents in interaction, i.e. recommending agents and sales agents, not just households. The decision making model for householder agents is inspired by the Consumat approach, as well as some of those recently applied to electric vehicles. A feature that differentiates this model is that it also represents information agents that provide recommendations and sales agents that proactively sell energy efficient products. By applying the model to a number of scenarios with policies aimed at increasing the adoption of solar hot water systems, a range of questions are explored, including whether it is more effective to incentivise sales agents to promote solar hot water systems, or whether it is more effective to provide a subsidy directly to households; or in fact whether it is better to work with plumbers so that they can promote these systems. The resultant model should be viewed as a conceptual structure with a theoretical and empirical grounding, but which requires further data collection for rigorous analysis of policy options. © 2018, University of Surrey. All rights reserved.</t>
  </si>
  <si>
    <t>Consumat; Energy efficiency; Ex-ante; Innovation diffusion; Policy assessment; Solar hot water</t>
  </si>
  <si>
    <t>2-s2.0-85049947338</t>
  </si>
  <si>
    <t>Zhong F., Guo A., Jiang D., Yang X., Yao W., Lu J.</t>
  </si>
  <si>
    <t>55823875100;56535974400;57204137648;57204143694;57204136862;57204147093;</t>
  </si>
  <si>
    <t>Research progress regarding residents' water consumption behavior as relates to water demand management: a literature review [面向需水管理的居民用水行为研究进展]</t>
  </si>
  <si>
    <t>Shuikexue Jinzhan/Advances in Water Science</t>
  </si>
  <si>
    <t>10.14042/j.cnki.32.1309.2018.03.017</t>
  </si>
  <si>
    <t>https://www.scopus.com/inward/record.uri?eid=2-s2.0-85054673378&amp;doi=10.14042%2fj.cnki.32.1309.2018.03.017&amp;partnerID=40&amp;md5=51b4fec62954a16d8a27b0728aa10fc5</t>
  </si>
  <si>
    <t>Water demand management is attracting increasing attention within the field of water resource management. Residents are the basic water use units and are the participants, executors and beneficiaries of water demand management. Research on the rules, influential factors and mechanisms of residents' water consumption behavior serves as the micro-foundation of effective water demand management strategies. From the standpoints of sociology, economics and computer simulation of residents' water consumption behavior, this paper gives a detailed review of research progress both within China and abroad to provide a reference for related research. The investigation shows that with the development of investigation techniques and theories, sociological research on residents' water consumption behavior gradually progresses from easily measurable objective factors to subjective factors that are difficult to measure. It obtains data through latent variables and observational variables, and uses the theory of planned behavior to deconstruct residents' water consumption behavior in myriad aspects. It also uses structural equation modeling, large-scale sociological survey experiments and environmental psychology repeated behavior models to reveal the impact mechanism. Economic research on residents' water consumption behavior aims to analyze the mechanism of micro-individual behavior under the influence of economic measures. This research also simulates the change of variables through econometric models to evaluate price elasticity of demand, impact of water pricing structures and billing frequency on demand, the comprehensive impact of water regulation and price regulations on residents' water consumption behavior, and how restrictions work with regard to economic measures. Research on computer simulations of residents' water consumption behavior that focus on improving simulation algorithms of micro-individual behavior, such as agent-based models expanding to multi-agent-based models, combined with complex network theory and social influence theory, can collectively summarize water consumption at the regional scale and repeat historical water resources events and simulation of water demand management strategies to provide recommendations for assessing and improving policy. Generally speaking, relevant domestic research is still in the follow-up stage; however, the focus is on improving the applicability of research methods in light of domestic practice. Future research needs to strengthen the synthesis of analytical methods such as sociology, economics and computer simulation, understanding residents' diversity issues, and explore habits, preferences, awareness, psychology and other potential factors behind residents' water consumption behavior. © 2018, Editorial Board of Advances in Water Science. All right reserved.</t>
  </si>
  <si>
    <t>Economics; Residential water consumption behavior; Simulation model; Sociology; Water demand management</t>
  </si>
  <si>
    <t>Autonomous agents; Complex networks; Computational methods; Economic analysis; Economic and social effects; Economics; Multi agent systems; Water management; Water supply; Historical water resources; Price-elasticity of demand; Simulation model; Sociology; Structural equation modeling; Theory of Planned Behavior; Water consumption; Water Demand Management; Behavioral research</t>
  </si>
  <si>
    <t>2-s2.0-85054673378</t>
  </si>
  <si>
    <t>Baeza A., Janssen M.A.</t>
  </si>
  <si>
    <t>57192926954;7202771294;</t>
  </si>
  <si>
    <t>Modeling the decline of labor-sharing in the semi-desert region of Chile</t>
  </si>
  <si>
    <t>Regional Environmental Change</t>
  </si>
  <si>
    <t>18</t>
  </si>
  <si>
    <t>10.1007/s10113-017-1243-0</t>
  </si>
  <si>
    <t>https://www.scopus.com/inward/record.uri?eid=2-s2.0-85034632679&amp;doi=10.1007%2fs10113-017-1243-0&amp;partnerID=40&amp;md5=d5df3575d1192cb5dfe8af01c2e872fa</t>
  </si>
  <si>
    <t>The rapid environmental changes currently underway in many dry regions of the world, and the deep uncertainty about their consequences, underscore a critical challenge for sustainability: how to maintain cooperation that ensures the provision of natural resources when the benefits of cooperating are variable, sometimes uncertain, and often limited. In this work, we present the case of a group of rural communities in a semi-desert region of Chile, where cooperation in the form of labor-sharing has helped maintain higher agriculture yields, group cohesion, and identity. Today, these communities face the challenge of adapting to recurrent droughts, extreme rainfall, and desertification. We formulated an agent-based model to investigate the consequences of regional climate changes on the fate of these labor-exchange institutions. The model, implemented in the framework of prospect theory, simulates the economic decisions of households to engage, or not, in labor-sharing agreements under different scenarios of water supply, water variability, and socio-environmental risk. Results show that the number of fulfilled labor-sharing agreements is reduced by water scarcity and environmental variability. More importantly, defections that involve non-fulfillment of these agreements are more likely to emerge at the intermediate level of environmental variability and water supply stress. These results underscore the need for environmental policy instruments that consider the effects of regional climate changes on the social dynamics of these communities. © 2017, The Author(s).</t>
  </si>
  <si>
    <t>Agent-based model; Cooperation; Drought; Labor-sharing; Rainfall; Risk</t>
  </si>
  <si>
    <t>2-s2.0-85034632679</t>
  </si>
  <si>
    <t>Espinosa L.A.D., Almassalkhi M., Hines P., Frolik J.</t>
  </si>
  <si>
    <t>35104731400;55209890200;35218953200;6603944061;</t>
  </si>
  <si>
    <t>Aggregate modeling and coordination of diverse energy resources under packetized energy management</t>
  </si>
  <si>
    <t>2017 IEEE 56th Annual Conference on Decision and Control, CDC 2017</t>
  </si>
  <si>
    <t>2018-January</t>
  </si>
  <si>
    <t>10.1109/CDC.2017.8263849</t>
  </si>
  <si>
    <t>https://www.scopus.com/inward/record.uri?eid=2-s2.0-85046248198&amp;doi=10.1109%2fCDC.2017.8263849&amp;partnerID=40&amp;md5=803509cb0fe0d534a6ef0da4f86ff7e3</t>
  </si>
  <si>
    <t>Transmitting a large file across the internet requires breaking up the file into smaller packets of data. Packetized energy management (PEM) leverages similar concepts from communication theory to coordinate distributed energy resources by breaking up deferrable residential consumer demands into smaller fixed-duration/fixed-power packets of energy. Each individual load is managed by a probabilistic automaton that stochastically requests energy packets as a function of its local dynamic state (e.g., temperature or state-of-charge). Based on the aggregate request rate from packetized loads and grid conditions, the PEM coordinator will modulate the rate of accepting requests, which permits tight tracking of a reference (load-shaping or market) signal. This paper presents a state bin transition (macro) model suitable for characterizing a diverse population of electric water heaters (EWHs) and energy storage systems (ESSs) under a single PEM coordinator that is validated against an agent-based simulation of the diverse loads. The resulting model illustrates how diversity of packetized load types enhances the level of flexibility offered by the coordinator. © 2017 IEEE.</t>
  </si>
  <si>
    <t>controlled Markov chain; distributed energy resources; modeling; Packetized energy management; state bin transition model</t>
  </si>
  <si>
    <t>Aggregates; Digital storage; Energy management; Information theory; Markov processes; Models; Water heaters; Agent based simulation; Controlled Markov chains; Distributed Energy Resources; Electric water heaters; Energy Storage Systems (ESSs); Probabilistic automata; Residential consumers; Transition model; Energy resources</t>
  </si>
  <si>
    <t>2-s2.0-85046248198</t>
  </si>
  <si>
    <t>Cai J., Xiong H.</t>
  </si>
  <si>
    <t>An agent-based simulation of cooperation in the use of irrigation systems</t>
  </si>
  <si>
    <t>Complex Adaptive Systems Modeling</t>
  </si>
  <si>
    <t>5</t>
  </si>
  <si>
    <t>10.1186/s40294-017-0047-x</t>
  </si>
  <si>
    <t>https://www.scopus.com/inward/record.uri?eid=2-s2.0-85050770134&amp;doi=10.1186%2fs40294-017-0047-x&amp;partnerID=40&amp;md5=7e2faa71f3381404c6fa758f22edf4e0</t>
  </si>
  <si>
    <t>This study presents an agent-based simulation of the formation of cooperation in using irrigation. The simulation model is developed based on our understanding of the underlying mechanisms by which farmer households participate the cooperation. That is, a household first become a potential participant when the cost of cooperation it needs to sustain is not higher than the amount it can afford or is willing to pay; and on top of this, the propensity that the household participates is heavily affected by its personal characteristics and neighborhood effects. We use model to examine the impacts of initial participants and government support on both the reach and velocity of the cooperation diffusion. The model is calibrated to villages with successfully running Water User Association in central China. Our results show that government support plays a critical role but the initial participants do not matter much for different types of initial participants and network structure of the village. © 2017, The Author(s).</t>
  </si>
  <si>
    <t>Agent-based modelling; Cooperation; Neighborhood effects; Social networks; Water user association</t>
  </si>
  <si>
    <t>2-s2.0-85050770134</t>
  </si>
  <si>
    <t>Darbandsari P., Kerachian R., Malakpour-Estalaki S.</t>
  </si>
  <si>
    <t>57195516773;55975065200;36696518600;</t>
  </si>
  <si>
    <t>An Agent-based behavioral simulation model for residential water demand management: The case-study of Tehran, Iran</t>
  </si>
  <si>
    <t>Simulation Modelling Practice and Theory</t>
  </si>
  <si>
    <t>78</t>
  </si>
  <si>
    <t>10.1016/j.simpat.2017.08.006</t>
  </si>
  <si>
    <t>https://www.scopus.com/inward/record.uri?eid=2-s2.0-85028570655&amp;doi=10.1016%2fj.simpat.2017.08.006&amp;partnerID=40&amp;md5=9c43d77a183a1cb32667c624da9a0122</t>
  </si>
  <si>
    <t>One of the main parts of urban water consumption is residential water use. In this paper, a new framework based on agent-based modeling is introduced to simulate the behavioral characteristics of residential water users and their social interactions. The proposed framework, as a decision making tool, can be used for evaluating responses of domestic water users to some factors such as social consciousness about hydrologic conditions, water pricing, and advertising policies as well as social interactions and communications. To illustrate the practical utility of the framework, it is applied to the western part of Tehran metropolitan city in Iran. The results show that increasing water price and investing on advertisement can be considered as effective strategies for managing residential water consumption in the study area. © 2017 Elsevier B.V.</t>
  </si>
  <si>
    <t>Agent-based modeling; Tehran; Urban water demand management; Water consumption behavior</t>
  </si>
  <si>
    <t>Autonomous agents; Computational methods; Decision making; Housing; Social sciences; Water management; Water supply; Agent-based model; Behavioral characteristics; Behavioral simulation; Hydrologic conditions; Residential water demand; Tehran; Urban waters; Water consumption; Software agents</t>
  </si>
  <si>
    <t>2-s2.0-85028570655</t>
  </si>
  <si>
    <t>Zhang J.-R., Wang H.-H., Zeng W.-H.</t>
  </si>
  <si>
    <t>56532151600;57190074297;8969607600;</t>
  </si>
  <si>
    <t>Simulation of water price policy coupled ABM and SD models in Dianchi Lake Basin</t>
  </si>
  <si>
    <t>Zhongguo Huanjing Kexue/China Environmental Science</t>
  </si>
  <si>
    <t>https://www.scopus.com/inward/record.uri?eid=2-s2.0-85039071865&amp;partnerID=40&amp;md5=bc6409bad972ac403a501a01983a3873</t>
  </si>
  <si>
    <t>In view of the shortage of water resources and the existing many problems of water price policy in Dianchi Lake Basin, water supply will affect the price of water resources, and then affect the water consumption behavior of residents and industrial enterprises from the perspective of policy simulation. This study proposed a complex system model that coupled multi-agent based models (ABM) and system dynamics (SD) models of watershed water price policy based on the constraint of water resources carrying capacity in Dianchi Lake Basin. The water price policies was simulated and analyzed according to the targets of the 13th Five-Year Plan of water pollution prevention and control in Dianchi Lake Basin. The simulation results indicated that, in the case of the adjustment of comprehensive industrial structure and policy in the Dianchi Lake Basin, in order to achieve the 13th Five-Year Plan targets, the water price of residents and industrial should be raised to 3.23 yuan/m3 and 4.99 yuan/m3, respectively. By speeding up the regulation and control of watershed water price policy, it can effectively guide the residents Agents and enterprises Agents to take water-saving measures and improve their water-using efficiency. It is suggested that the water diversion volume of Dianchi Lake Basin should reduce appropriately to attain 3.06 billion m3. Alternatively, the compensation expense of water diversion can be used for the construction of recycled water facilities. Accordingly, the reuse rates of recycled water should reach to 33% that can be ensured the sustainable utilization of water resources. © 2017, Editorial Board of China Environmental Science. All right reserved.</t>
  </si>
  <si>
    <t>Dianchi Lake Basin; Policy simulation; The water price of residents; Water resources carrying capacity</t>
  </si>
  <si>
    <t>Autonomous agents; Computational methods; Costs; Flood control; Lakes; Multi agent systems; Pollution control; Recycling; Water conservation; Water pollution; Water pollution control; Water recycling; Water supply; Watersheds; Complex system modeling; Dianchi Lake basins; Policy simulation; Sustainable utilization; Water pollution prevention and controls; Water prices; Water resources carrying capacities; Water using efficiency; Water resources</t>
  </si>
  <si>
    <t>2-s2.0-85039071865</t>
  </si>
  <si>
    <t>Kandiah V., Binder A.R., Berglund E.Z.</t>
  </si>
  <si>
    <t>55355710500;26533935700;56394090200;</t>
  </si>
  <si>
    <t>An Empirical Agent-Based Model to Simulate the Adoption of Water Reuse Using the Social Amplification of Risk Framework</t>
  </si>
  <si>
    <t>Risk Analysis</t>
  </si>
  <si>
    <t>10.1111/risa.12760</t>
  </si>
  <si>
    <t>https://www.scopus.com/inward/record.uri?eid=2-s2.0-85030631894&amp;doi=10.1111%2frisa.12760&amp;partnerID=40&amp;md5=b61f2d21b4275fb79bca1dbbc4810b45</t>
  </si>
  <si>
    <t>Water reuse can serve as a sustainable alternative water source for urban areas. However, the successful implementation of large-scale water reuse projects depends on community acceptance. Because of the negative perceptions that are traditionally associated with reclaimed water, water reuse is often not considered in the development of urban water management plans. This study develops a simulation model for understanding community opinion dynamics surrounding the issue of water reuse, and how individual perceptions evolve within that context, which can help in the planning and decision-making process. Based on the social amplification of risk framework, our agent-based model simulates consumer perceptions, discussion patterns, and their adoption or rejection of water reuse. The model is based on the “risk publics” model, an empirical approach that uses the concept of belief clusters to explain the adoption of new technology. Each household is represented as an agent, and parameters that define their behavior and attributes are defined from survey data. Community-level parameters—including social groups, relationships, and communication variables, also from survey data—are encoded to simulate the social processes that influence community opinion. The model demonstrates its capabilities to simulate opinion dynamics and consumer adoption of water reuse. In addition, based on empirical data, the model is applied to investigate water reuse behavior in different regions of the United States. Importantly, our results reveal that public opinion dynamics emerge differently based on membership in opinion clusters, frequency of discussion, and the structure of social networks. © 2017 Society for Risk Analysis</t>
  </si>
  <si>
    <t>Acceptance-resistance; agent-based model; opinion dynamics; risk perceptions; social amplification of risk; water reuse</t>
  </si>
  <si>
    <t>Autonomous agents; Computational methods; Decision making; Dynamics; Risk perception; Social aspects; Surveys; Urban planning; Wastewater reclamation; Water management; Agent-based model; Alternative water sources; Communication variables; Decision making process; Opinion dynamics; Social amplification of risks; Urban water management; Water reuse; Water conservation; decision making; empirical analysis; management practice; numerical model; project assessment; public attitude; recycling; risk assessment; risk perception; simulation; urban area; water management; water planning; United States; adoption; article; consumer; decision making; household; human; perception; public opinion; simulation; social network; United States; waste water recycling</t>
  </si>
  <si>
    <t>2-s2.0-85030631894</t>
  </si>
  <si>
    <t>Faust K.M., Abraham D.M., DeLaurentis D.</t>
  </si>
  <si>
    <t>55803401200;7201845111;9333204400;</t>
  </si>
  <si>
    <t>Coupled human and water infrastructure systems sector interdependencies: Framework evaluating the impact of cities experiencing urban decline</t>
  </si>
  <si>
    <t>143</t>
  </si>
  <si>
    <t>04017043</t>
  </si>
  <si>
    <t>10.1061/(ASCE)WR.1943-5452.0000794</t>
  </si>
  <si>
    <t>https://www.scopus.com/inward/record.uri?eid=2-s2.0-85020212745&amp;doi=10.1061%2f%28ASCE%29WR.1943-5452.0000794&amp;partnerID=40&amp;md5=bd3f0bd29e64348afb4664a88a4c3983</t>
  </si>
  <si>
    <t>Water, wastewater, and stormwater infrastructure systems are intrinsically interdependent, impacting the performance and operations of each individual infrastructure. The demands placed on and revenues generated for these infrastructures are impacted by human interactions, such as price elasticity and population dynamics. The consequences of these human-infrastructure interactions may be seen in shrinking cities, where chronic population decline has led to underfunded and underutilized infrastructures. This paper evaluates human-water and wastewater systems sector interdependencies in shrinking cities to explore water demand, utility revenues, public support, and payoff periods for retooling alternatives. To assess the dynamic behavior of the water sector systems, a hybrid framework is used that incorporates agent-based and system dynamics modeling. Driving the approach is data gathered from published and publicly available literature, two case studies, and a survey deployed to residents of 21 U.S. shrinking cities. This study quantifies the endogenous, physical interdependencies and the exogenous, complex human interactions. The epistemic uncertainty associated with human-infrastructure interactions is explored by incorporating stochastic parameters rather than the traditional deterministic parameters. Furthermore, the framework enables the assessment of interdependencies with parameters tailored to a city's unique characteristics. © 2017 American Society of Civil Engineers.</t>
  </si>
  <si>
    <t>Shrinkage; Stochastic systems; Uncertainty analysis; Water supply; Epistemic uncertainties; Human infrastructure; Infrastructure systems; Population decline; Stochastic parameters; System dynamics model; Water and wastewater; Water infrastructure; Population statistics; human activity; infrastructure; population decline; urban area; water supply</t>
  </si>
  <si>
    <t>2-s2.0-85020212745</t>
  </si>
  <si>
    <t>Guijun L., Yongsheng W., Daohan H., Hongtao Y.</t>
  </si>
  <si>
    <t>55953882200;57189656258;57191491053;6602315122;</t>
  </si>
  <si>
    <t>A multi-agent model for urban water-energy-food sustainable development simulation</t>
  </si>
  <si>
    <t>ACM International Conference Proceeding Series</t>
  </si>
  <si>
    <t>Part F130655</t>
  </si>
  <si>
    <t>10.1145/3126973.3126991</t>
  </si>
  <si>
    <t>https://www.scopus.com/inward/record.uri?eid=2-s2.0-85030475547&amp;doi=10.1145%2f3126973.3126991&amp;partnerID=40&amp;md5=6c144e2208815f9ac44b2e0535fde7e5</t>
  </si>
  <si>
    <t>Water, energy and food are basic resource for sustainable urban development. It has been acknowledged that there are numerous complex non-linear interconnections among them, or called WEF-Nexus, meaning that any strategies that focus on single resource would lead to unexpected results. As one of the most effective tools for simulating the complex system, Agent-Based Modeling has a unique advantage in optimizing WEF allocation and promoting its use efficiency at the city level. Basing on characters of various agents in a complex urban system, this paper first divides various agents into three types: household, firm and government, which are all living in the same urban space and sharing independent but competitive demand for WEF resources respectively. And then under the guidance of behavior rules for household, firm and government agents, Netlogo programmable modeling environment are proposing to explore the complex interaction between those three agents in the process of WEF production and consumption. On the basis of WEF-Nexus with different agents, we finally build a new Multi-Agent Model, and conclude that by setting some sustainable development goals, this model can effectively simulate the urban WEF consumption pattern and its dynamic changes with the evolution of time. © 2017 Association for Computing Machinery.</t>
  </si>
  <si>
    <t>Energy and food); Multi-Agent Model; Simulation; Urban sustainable development; WEF(water</t>
  </si>
  <si>
    <t>Autonomous agents; Computational methods; Multi agent systems; Planning; Sustainable development; Urban growth; Consumption patterns; Energy and food); Modeling environments; Multi-Agent Model; Production and consumption; Simulation; Sustainable urban development; Urban sustainable development; Software agents</t>
  </si>
  <si>
    <t>2-s2.0-85030475547</t>
  </si>
  <si>
    <t>Yang A., Dutta D., Vaze J., Kim S., Podger G.</t>
  </si>
  <si>
    <t>8659520500;13104461800;6603081876;55286182500;6602561842;</t>
  </si>
  <si>
    <t>An integrated modelling framework for building a daily river system model for the Murray–Darling Basin, Australia</t>
  </si>
  <si>
    <t>International Journal of River Basin Management</t>
  </si>
  <si>
    <t>15</t>
  </si>
  <si>
    <t>10.1080/15715124.2017.1315814</t>
  </si>
  <si>
    <t>https://www.scopus.com/inward/record.uri?eid=2-s2.0-85018840239&amp;doi=10.1080%2f15715124.2017.1315814&amp;partnerID=40&amp;md5=295140a0e56a6c25105eb2d4902f51f0</t>
  </si>
  <si>
    <t>The Murray–Darling Basin (MDB) is home to two million people and accounts for about 60% of the water use in Australia. The MDB river system is a highly complex and mostly regulated system covering four states (Queensland, New South Wales, Victoria and South Australia) and one territory. Different jurisdictions used different models for water resources and planning. A number of difficulties were faced in combining those models (of different characteristics and spatio-temporal resolutions) for basin-wide water resources planning. In order to overcome those difficulties and enhance the consistency and transparency in modelling outcomes across multiple jurisdictions, this paper proposes a homogeneous agent-based integrated modelling framework. Each agent is used to represent a region in the MDB. Its behaviour is modelled by a newly built Source river model. The interactions between agents are modelled based on the hydrological connectivity in the real-world river systems. A three-level parallel computing mechanism is developed to significantly increase its efficiency and reduce computational time. Due to its homogeneousness, it largely reduces the system complexity and makes modelling results consistent, explainable and comparable. By nature, the agent-based system is flexible and portable. All these unique features of the platform suit the modelling needs of various states to federal government water resource management agencies. © 2017 International Association for Hydro-Environment Engineering and Research.</t>
  </si>
  <si>
    <t>agent-based modelling; eWater Source; Murray–Darling Basin; River basin management; river system modelling</t>
  </si>
  <si>
    <t>basin management; integrated approach; modeling; river basin; river system; water management; water planning; water resource; Australia; Murray-Darling Basin</t>
  </si>
  <si>
    <t>2-s2.0-85018840239</t>
  </si>
  <si>
    <t>Exploring the effects of domestic water management measures to water conservation attitudes using agent based modelling</t>
  </si>
  <si>
    <t>Water Science and Technology: Water Supply</t>
  </si>
  <si>
    <t>17</t>
  </si>
  <si>
    <t>10.2166/ws.2016.161</t>
  </si>
  <si>
    <t>https://www.scopus.com/inward/record.uri?eid=2-s2.0-85017136764&amp;doi=10.2166%2fws.2016.161&amp;partnerID=40&amp;md5=02c5bce57486bd60f0f292e48def6316</t>
  </si>
  <si>
    <t>The urban water system's sustainable evolution requires managing both water supply and water demand within a complete urban water cycle framework. Such an approach, however, requires tools to analyse and simulate the complete system including both physical and cultural environments. One of the main challenges, in this regard, is the design and development of tools able to simulate the society's water demand behaviour and the way policy measures affect it. The effects of these policy measures are a function of personal attitudes that subsequently lead to the formation of people's behaviours. This work focuses on the exploration of social impact theory on water conservation attitudes of urban households. A model is designed and implemented using agent based modelling. The developed model's ability to represent social structure and mechanisms of social influences is tested against historical data from the 1988-1994 drought of Athens, Greece as a case study. © IWA Publishing 2017.</t>
  </si>
  <si>
    <t>Agent based modelling; Social impact theory; Urban water demand management; Water conservation</t>
  </si>
  <si>
    <t>Autonomous agents; Computational methods; Water conservation; Water management; Water supply; Agent-based modelling; Conservation attitudes; Cultural environment; Design and Development; Management measures; Social impact theories; Urban water systems; Urban waters; Economic and social effects; domestic water; unclassified drug; water; attitudinal survey; social impact assessment; social structure; urban area; water demand; water management; water planning; water supply; Article; consumer attitude; drought; environmental policy; environmental protection; fluid intake; Greece; household; human; model; sensitivity analysis; social interaction; social network; social structure; urban area; water conservation; water cycle; water management; Athens [Attica]; Attica; Greece</t>
  </si>
  <si>
    <t>2-s2.0-85017136764</t>
  </si>
  <si>
    <t>van der Veen R.A.C., Kisjes K.H., Nikolic I.</t>
  </si>
  <si>
    <t>26431146100;56418643200;16481059300;</t>
  </si>
  <si>
    <t>Exploring policy impacts for servicising in product-based markets: A generic agent-based model</t>
  </si>
  <si>
    <t>145</t>
  </si>
  <si>
    <t>10.1016/j.jclepro.2017.01.016</t>
  </si>
  <si>
    <t>https://www.scopus.com/inward/record.uri?eid=2-s2.0-85011709938&amp;doi=10.1016%2fj.jclepro.2017.01.016&amp;partnerID=40&amp;md5=edfaa1831c4b3ee3cfc7fa5fd6354e6d</t>
  </si>
  <si>
    <t>The shift to markets based on servicising, i.e. market-level transitions from product-based to service-based production and consumption patterns, may contribute to achieve absolute decoupling, i.e. the combined development of economic growth and environmental impact reduction. However, the potential of this contribution is largely unknown. In this paper a generic agent-based model of servicising is presented with which this potential can be explored further, taking into account decision making procedures of business and consumer agents, including market research, preferences, and willingness to pay. The details of the servicising model are presented, and the model's abilities are demonstrated through three case studies from different sectors: car and bike sharing, crop protection, and domestic water-saving systems. Absolute decoupling was found to occur in some of the policy scenarios, but results vary widely between cases. It is concluded that the model can be used to explore the impact of public policy on the uptake of servicising and on absolute decoupling in various sectors, and is therefore a useful support tool for policy makers who aim to promote servicising, as well as for researchers studying potential servicising impacts. © 2017 The Authors</t>
  </si>
  <si>
    <t>Absolute decoupling; Agent-based modelling; Behavioural economics; Policy exploration; Product-service systems; Servicizing</t>
  </si>
  <si>
    <t>Autonomous agents; Commerce; Computational methods; Decision making; Economics; Environmental impact; Water conservation; Absolute decoupling; Agent-based modelling; Decision making procedure; Market researches; Product-service systems; Production and consumption; Servicizing; Willingness to pay; Economic and social effects</t>
  </si>
  <si>
    <t>2-s2.0-85011709938</t>
  </si>
  <si>
    <t>Kamara-Esteban O., Sorrosal G., Pijoan A., Castillo-Calzadilla T., Iriarte-Lopez X., Macarulla-Arenaza A.M., Martin C., Alonso-Vicario A., Borges C.E.</t>
  </si>
  <si>
    <t>57201669413;55837381200;56422208500;57193350749;57193351263;57193569557;55879944900;57200854385;27867577000;</t>
  </si>
  <si>
    <t>Bridging the Gap between Real and Simulated Environments: A Hybrid Agent-Based Smart Home Simulator Architecture for Complex Systems</t>
  </si>
  <si>
    <t>Proceedings - 13th IEEE International Conference on Ubiquitous Intelligence and Computing, 13th IEEE International Conference on Advanced and Trusted Computing, 16th IEEE International Conference on Scalable Computing and Communications, IEEE International Conference on Cloud and Big Data Computing, IEEE International Conference on Internet of People and IEEE Smart World Congress and Workshops, UIC-ATC-ScalCom-CBDCom-IoP-SmartWorld 2016</t>
  </si>
  <si>
    <t>7816848</t>
  </si>
  <si>
    <t>10.1109/UIC-ATC-ScalCom-CBDCom-IoP-SmartWorld.2016.0052</t>
  </si>
  <si>
    <t>https://www.scopus.com/inward/record.uri?eid=2-s2.0-85013192575&amp;doi=10.1109%2fUIC-ATC-ScalCom-CBDCom-IoP-SmartWorld.2016.0052&amp;partnerID=40&amp;md5=c3d4c577de41b5ff52d87425497a3160</t>
  </si>
  <si>
    <t>Deployment, maintenance of Smart Homes, Smart Grids in real environments is an expensive, lengthy process. In this paradigm, simulations play an important role by providing means of emulating the behaviour of the aforementioned systems. However, these simulations may suffer from lack of accuracy due to the inability to properly reproduce the operation of complex technologies such as solar panels, Heating, Ventilating, Air Conditioning systems (HVAC), sewerage networks or water provisioning. Within this context, this paper presents a Smart-Home Simulation architecture that is able to carry out more representational simulations by merging agent-based simulation of human behaviour with real-world modelling capabilities such as those provided by the Simulink software. Based on the simulation of human behaviour, water, electricity consumption profiles are generated, sent to Simulink models using the TCP/IP communication protocol. The obtained results show that a synchronized connection of both platforms in feasible, enabling a more accurate representation of the systems involved. © 2016 IEEE.</t>
  </si>
  <si>
    <t>Agent-Based Modelling; Energy-Box; Hybrid Simulation; Smart Home Simulation</t>
  </si>
  <si>
    <t>Air conditioning; Automation; Autonomous agents; Behavioral research; Big data; Complex networks; Computational methods; Computer software; Intelligent buildings; Network architecture; Social sciences; Software agents; Trusted computing; Agent based simulation; Agent-based modelling; Electricity-consumption; Energy-Box; Hybrid simulation; Modelling capabilities; Simulation architecture; Smart homes; Ubiquitous computing</t>
  </si>
  <si>
    <t>2-s2.0-85013192575</t>
  </si>
  <si>
    <t>Tourigny A., Filion Y.</t>
  </si>
  <si>
    <t>57204524562;6603123029;</t>
  </si>
  <si>
    <t>Agent-based Modeling as a Decision Support Tool for Water Conservation Planning</t>
  </si>
  <si>
    <t>CCWI 2017 - 15th International Conference on Computing and Control for the Water Industry</t>
  </si>
  <si>
    <t>https://www.scopus.com/inward/record.uri?eid=2-s2.0-85091586100&amp;partnerID=40&amp;md5=c400d089b6d0ef24bc56d6e479894928</t>
  </si>
  <si>
    <t>The paper presents a simulation approach to model water conservation campaigns by coupling agent-based and hydraulic models. The approach is unique as it incorporates modeling the communication strategies that can be used to promote water reduction measures. An illustrative case study is developed where households, represented as agents, are targeted through a mail-in and social media campaign that prompts them to consider adopting rain barrels. The water demands before and after the rain barrel campaign are evaluated through the EPANET2.0 hydraulic network solver in order to calculate the change in energy use stemming from the measures. The study found that 1.51 ML of water a day could be saved through the campaign however it would take 18 years to reach the adoption target using the proposed communication strategy. © 2020 CCWI 2017 - 15th International Conference on Computing and Control for the Water Industry. All rights reserved.</t>
  </si>
  <si>
    <t>Decision Support; Energy Reduction; Water Distribution</t>
  </si>
  <si>
    <t>Autonomous agents; Computational methods; Coupling agents; Energy utilization; Hydraulic models; Rain; Simulation platform; Water conservation; Agent-based model; Communication strategy; Conservation planning; Decision support tools; Hydraulic networks; Simulation approach; Social media; Water reduction; Decision support systems</t>
  </si>
  <si>
    <t>2-s2.0-85091586100</t>
  </si>
  <si>
    <t>Sancho-Tomás A., Chapman J., Sumner M., Robinson D.</t>
  </si>
  <si>
    <t>57188722317;57200605661;14632813800;10242784500;</t>
  </si>
  <si>
    <t>Extending no-MASS: Multi-agent stochastic simulation for demand response of residential appliances</t>
  </si>
  <si>
    <t>10.26868/25222708.2017.056</t>
  </si>
  <si>
    <t>https://www.scopus.com/inward/record.uri?eid=2-s2.0-85085032036&amp;doi=10.26868%2f25222708.2017.056&amp;partnerID=40&amp;md5=c4b7fdfb5d7a37f8b5606e4a530847ea</t>
  </si>
  <si>
    <t>Demand Response (DR) has been proposed as an efficient and inexpensive solution to face the challenges of the evolving power system: to reduce peak demands and thus demands for additional generating capacity, and to improve localized energetic autonomy. The success of DR programs is highly dependent on the acceptance and reactions of end-users: their willingness to devolve control and/or to proactively adjust their energy using behaviours. However, experimental trials to identify the best DR configuration for each type of consumer is very costly. Here simulation has a valuable role to play, in identifying promising DR strategies, taking into account occupants characteristics. This paper describes and evaluates a proof-of-concept extension of a multi-agent stochastic simulation platform that simulates occupants behaviours (No-MASS) to also simulate DR strategies. This is applied in the first instance to electrical devices in households: categorizing these as demand devices (e.g. large and small appliances, heating and hot water systems), supply devices (e.g. PV, cogeneration, wind turbines) and electrical storage devices (e.g. batteries, HEVs). The device-specific DR strategies are learned by our device-agents using machine (specifically reinforcement) learning, to maximize a function rewarding the utilization of locally generated energy. We close this paper by discussing our next steps to add further functionality to No-MASS for DR simulation. © 2017 Building Simulation Conference Proceedings. All rights reserved.</t>
  </si>
  <si>
    <t>Heating; Reinforcement learning; Stochastic control systems; Stochastic models; Stochastic systems; Virtual storage; Electrical devices; Electrical storage devices; Experimental trials; Generating capacity; Hot water system; Occupants behaviours; Proof of concept; Stochastic simulations; Multi agent systems</t>
  </si>
  <si>
    <t>2-s2.0-85085032036</t>
  </si>
  <si>
    <t>Zidar K., Bartrand T.A., Loomis C.H., McAfee C.A., Geldi J.M., Riggall G.J., Montalto F.</t>
  </si>
  <si>
    <t>57201357416;6507714979;55780623200;55780318900;55779796000;55780455700;9746215600;</t>
  </si>
  <si>
    <t>Maximizing green infrastructure in a Philadelphia neighborhood</t>
  </si>
  <si>
    <t>Urban Planning</t>
  </si>
  <si>
    <t>10.17645/up.v2i4.1039</t>
  </si>
  <si>
    <t>https://www.scopus.com/inward/record.uri?eid=2-s2.0-85044605291&amp;doi=10.17645%2fup.v2i4.1039&amp;partnerID=40&amp;md5=2cad65fc78fd10d24ca8b523d2e09115</t>
  </si>
  <si>
    <t>While the Philadelphia Water Department (PWD) is counting on Green Stormwater Infrastructure (GI) as a key component of its long-term plan for reducing combined sewer overflows, many community stakeholders are also hoping that investment in greening can help meet other ancillary goals, collectively referred to as sustainable redevelopment. This study investigates the challenges associated with implementation of GI in Point Breeze, a residential neighborhood of South Philadelphia. The project team performed a detailed study of physical, social, legal, and economic conditions in the pilot neighborhood over the course of several years, culminating in the development of an agent-based model simulation of GI implementation. The model evaluates a) whether PWD’s GI goals can be met in a timely manner, b) what kinds of assumptions regarding participation would be needed under different theoretical GI policies, and c) the extent to which GI could promote sustainable redevelopment. The model outcomes underscore the importance of private land in helping PWD achieve its GI goals in Point Breeze. Achieving a meaningful density of GI in the neighborhoods most in need of sustainable redevelopment may require new and creative strategies for GI implementation tailored for the types of land present in those particular communities. © 2017 by the authors.</t>
  </si>
  <si>
    <t>Agent-based modeling; Green infrastructure; Participatory modeling; Stormwater; Urban redevelopment</t>
  </si>
  <si>
    <t>2-s2.0-85044605291</t>
  </si>
  <si>
    <t>Mashhadi Ali A., Shafiee M.E., Berglund E.Z.</t>
  </si>
  <si>
    <t>57192187381;36188902500;56394090200;</t>
  </si>
  <si>
    <t>Agent-based modeling to simulate the dynamics of urban water supply: Climate, population growth, and water shortages</t>
  </si>
  <si>
    <t>28</t>
  </si>
  <si>
    <t>10.1016/j.scs.2016.10.001</t>
  </si>
  <si>
    <t>https://www.scopus.com/inward/record.uri?eid=2-s2.0-85000671289&amp;doi=10.1016%2fj.scs.2016.10.001&amp;partnerID=40&amp;md5=7d31175fcc98475e2f911e9d7bbd342f</t>
  </si>
  <si>
    <t>The sustainability of water resources depends on the dynamic interactions among the environmental, technological, and social characteristics of the water system and local population. These interactions can cause supply-demand imbalances at diverse temporal scales, and the response of consumers to water use regulations impacts future water availability. This research develops a dynamic modeling approach to simulate supply-demand dynamics using an agent-based modeling framework that couple models of consumers and utility managers with water system models. Households are represented as agents, and their water use behaviors are represented as rules. A water utility manager agent enacts water use restrictions, based on fluctuations in the reservoir water storage. Water balance in a reservoir is simulated, and multiple climate scenarios are used to test the sensitivity of water availability to changes in streamflow, precipitation, and temperature. The framework is applied to the water supply system in Raleigh, North Carolina to assess sustainability of drought management plans. Model accuracy is assessed using statistical metrics, and sustainability is calculated for a projected period as the satisfaction or deficit of meeting municipal demands. Multiple climate change scenarios are created by perturbing average monthly values of historical inflow, precipitation, and evapotranspiration data. Results demonstrate the use of the agent-based modeling approach to project the effectiveness of management policies and recommend drought policies for improving the sustainability of urban water resources. © 2016 Elsevier Ltd</t>
  </si>
  <si>
    <t>Agent-based modeling; Demand management; Stochastic reconstruction framework; Surface water system; Urban water supply</t>
  </si>
  <si>
    <t>Autonomous agents; Climate change; Computational methods; Digital storage; Drought; Electric load management; Managers; Population statistics; Reservoirs (water); Software agents; Stochastic systems; Surface waters; Sustainable development; Urban growth; Water supply; Water supply systems; Waterworks; Agent based modeling frameworks; Agent-based model; Climate change scenarios; Dynamic modeling approach; Stochastic reconstruction; Supply demand imbalance; Urban water supply; Water utility managers; Water resources</t>
  </si>
  <si>
    <t>2-s2.0-85000671289</t>
  </si>
  <si>
    <t>Modelling domestic water demand: An agent based approach</t>
  </si>
  <si>
    <t>79</t>
  </si>
  <si>
    <t>10.1016/j.envsoft.2016.01.005</t>
  </si>
  <si>
    <t>https://www.scopus.com/inward/record.uri?eid=2-s2.0-84956969147&amp;doi=10.1016%2fj.envsoft.2016.01.005&amp;partnerID=40&amp;md5=605f2c7be770088ea1ba5cdf63cda716</t>
  </si>
  <si>
    <t>The urban water system is a complex adaptive system consisting of technical, environmental and social components which interact with each other through time. As such, its investigation requires tools able to model the complete socio-technical system, complementing "infrastructure-centred" approaches. This paper presents a methodology for integrating two modelling tools, a social simulation model and an urban water management tool. An agent based model, the Urban Water Agents' Behaviour, is developed to simulate the domestic water users' behaviour in response to water demand management measures and is then coupled to the Urban Water Optioneering Tool to calculate the evolution of domestic water demand by simulating the use of water appliances. The proposed methodology is tested using, as a case study, a major period of drought in Athens, Greece. Results suggest that the coupling of the two models provides new functionality for water demand management scenarios assessment by water regulators and companies. © 2016 Elsevier Ltd.</t>
  </si>
  <si>
    <t>Agent based modelling; Domestic water demand behaviour; Urban water demand management; Water conservation</t>
  </si>
  <si>
    <t>Autonomous agents; Computational methods; Drought; Water conservation; Water management; Agent-based approach; Agent-based modelling; Complex adaptive systems; Domestic water; Sociotechnical systems; Urban water management; Urban waters; Water Demand Management; Domestic appliances; adaptive management; demand analysis; drought; household survey; integrated approach; urban area; water management; water storage; water use; Athens [Attica]; Attica; Greece</t>
  </si>
  <si>
    <t>2-s2.0-84956969147</t>
  </si>
  <si>
    <t>Chaib A., Imen B., Allaoua C.</t>
  </si>
  <si>
    <t>56344791700;57224050564;55672097200;</t>
  </si>
  <si>
    <t>An Intelligent Management of Lighting in an Ambient Environment with a Multi-agent System</t>
  </si>
  <si>
    <t>Lecture Notes in Networks and Systems</t>
  </si>
  <si>
    <t>10.1007/978-3-319-33410-3_14</t>
  </si>
  <si>
    <t>https://www.scopus.com/inward/record.uri?eid=2-s2.0-85106831414&amp;doi=10.1007%2f978-3-319-33410-3_14&amp;partnerID=40&amp;md5=fb71abd025c6f7c47e525c9b6296edee</t>
  </si>
  <si>
    <t>The home automation is one of the most customers of electrical energy after the industry. Lighting represents on average about 15 % of the annual electricity bill excluding gas and hot water. Different studies have been made to reduce the electrical energy consumption like automatic switching and time programming. But all these techniques have not an important rate in reducing the electrical energy consumption. So we note that an intelligent lighting which varies with the users need remains important source of economy of the energy. The intelligent lighting is obtained by using ambient intelligence (AmI). Multi agent System (MAS) have become the important paradigm to develop an ambient system because they have important characteristics like autonomy, proactivity and mobility to respond better to the main characteristic of ambient intelligence like the adaptability to the context. In this area, we propose an adaptive and intelligent lighting system in which each light source is represented by a software agent and the set of agents compose and coordinate their competences in order to illuminate a region with minimum energy consumption. © Springer International Publishing Switzerland 2016.</t>
  </si>
  <si>
    <t>Ambient intelligence; Context-aware; Home automation; Intelligent lighting; Multi agent system</t>
  </si>
  <si>
    <t>Book Chapter</t>
  </si>
  <si>
    <t>2-s2.0-85106831414</t>
  </si>
  <si>
    <t>Modelling urban transition: A case of rainwater harvesting</t>
  </si>
  <si>
    <t>Environmental Modelling and Software for Supporting a Sustainable Future, Proceedings - 8th International Congress on Environmental Modelling and Software, iEMSs 2016</t>
  </si>
  <si>
    <t>https://www.scopus.com/inward/record.uri?eid=2-s2.0-85087657060&amp;partnerID=40&amp;md5=2060d03c90f6b24266796069abaef74e</t>
  </si>
  <si>
    <t>Cities are increasingly exposed to extreme climate events such as floods and droughts. Land use change is also expected to reduce the availability of green spaces and intensify extreme heat events. Given these pressures on the quality of life of urban dwellers, there is a great need to improve the integrated management of water to enable sustainable development of rapidly growing cities and improve human well-being. A promising way to make urban communities more liveable is to invest in green water technologies, that is, decentralised and low-energy water supply, wastewater and stormwater solutions, to foster the transition to more sustainable and resilient cities. However, the adoption of multifunctional water technologies is a complex issue that requires cross-disciplinary approaches, demanding innovative thinking and practice. Despite the increasing body of literature on the benefits of decentralised water technologies, several barriers to their adoption remain. This paper uses an agent-based model that integrates social and environmental factors, as well as economic evaluation of water services provided by water technologies to assess the decision-making of two types of agents. The model is applied to evaluate incentive-based strategies to increase the adoption of rainwater tanks in Melbourne, a city that has suffered from severe droughts over the last decades. The model shows that using economic evaluation may not be adequate to understand the dynamics of rainwater tank uptake. Social factors such as public education might have played a role on decisions of households. This tool will be further tested and validated to explore policies and robust strategies to enable sustainable water management in rapidly developing cities. © 2016 Environmental Modelling and Software for Supporting a Sustainable Future, Proceedings - 8th International Congress on Environmental Modelling and Software, iEMSs 2016. All rights reserved.</t>
  </si>
  <si>
    <t>Agent-based model; Environmental policies; Green infrastructure; Rainwater harvesting</t>
  </si>
  <si>
    <t>Autonomous agents; Computational methods; Decision making; Drought; Economic analysis; Environmental technology; Extreme weather; Heating; Land use; Petroleum reservoir evaluation; Tanks (containers); Water conservation; Water management; Water supply; Cross-disciplinary approaches; Economic evaluations; Innovative thinking; Integrated management; Rain water harvesting; Social and environmental; Sustainable water management; Water technologies; Sustainable development</t>
  </si>
  <si>
    <t>2-s2.0-85087657060</t>
  </si>
  <si>
    <t>Ramsey E.</t>
  </si>
  <si>
    <t>57097896100;</t>
  </si>
  <si>
    <t>Use of a household survey in the development of an agent-based model to support water demand management in Jaipur, India</t>
  </si>
  <si>
    <t>World Environmental and Water Resources Congress 2016: Professional Development, Innovative Technology, International Perspectives, and History and Heritage - Papers from Sessions of the Proceedings of the 2016 World Environmental and Water Resources Congress</t>
  </si>
  <si>
    <t>10.1061/9780784479841.019</t>
  </si>
  <si>
    <t>https://www.scopus.com/inward/record.uri?eid=2-s2.0-84984640025&amp;doi=10.1061%2f9780784479841.019&amp;partnerID=40&amp;md5=3579625b6079848618b7f38ddb41107b</t>
  </si>
  <si>
    <t>The growth of urban water demands in many developing countries outpaces the expansion of water infrastructure, and growing populations may meet immediate water needs through private wells and illegal connections. Demand management strategies can avert the depletion of water resources by encouraging conservation and installation of water-efficient technologies. In many developing urban areas, however, significant heterogeneity may exist among water consumers in their sources of water, end use applications, and individual responses to messages about water conservation. Consequently, predicting the performance of demand management strategies using simple demand projections may neglect significant interactions and decision-making among users. An agent-based modeling approach is developed here to simulate the spread of water conservation technologies within a community in response to conservation policies, which target portions of the population using different messaging techniques. Agents represent households, and water use behaviors are coded based on data derived from a household survey of 248 households on water use behaviors and willingness to conserve water. Management strategies are simulated to represent direct messaging from government officials to reduce overall water consumption and indirect messaging from government officials and religious officials. The framework is applied for Jaipur, India, a city with a population of approximately 3.2 million people. The agent-based model is applied to project reduction of overall consumption rates due to the spread of water conservation technology, and results are compared to projected water demands at the current residential water consumption rate. © 2016 ASCE.</t>
  </si>
  <si>
    <t>Autonomous agents; Behavioral research; Computational methods; Decision making; Developing countries; Environmental technology; Population statistics; Simulation platform; Surveys; Urban growth; Water management; Water supply; Conservation technologies; Demand management strategies; Government officials; Management strategies; Water consumption rate; Water Demand Management; Water efficient technologies; Water infrastructure; Water conservation</t>
  </si>
  <si>
    <t>2-s2.0-84984640025</t>
  </si>
  <si>
    <t>Al-Amin S., Berglund E.Z., Mahinthakumar K.</t>
  </si>
  <si>
    <t>55946392500;56394090200;57190016543;</t>
  </si>
  <si>
    <t>Coupling Agent-Based and Groundwater Modeling to Explore Demand Management Strategies for Shared Resources</t>
  </si>
  <si>
    <t>World Environmental and Water Resources Congress 2016: Watershed Management, Irrigation and Drainage, and Water Resources Planning and Management - Papers from Sessions of the Proceedings of the 2016 World Environmental and Water Resources Congress</t>
  </si>
  <si>
    <t>10.1061/9780784479858.016</t>
  </si>
  <si>
    <t>https://www.scopus.com/inward/record.uri?eid=2-s2.0-84976492570&amp;doi=10.1061%2f9780784479858.016&amp;partnerID=40&amp;md5=5317a445d31f10b9b370bd4818572404</t>
  </si>
  <si>
    <t>Municipal water demands in growing population centers in the arid southwest U.S. are typically met through increased groundwater withdrawals. Hydro-climatic uncertainties attributed to climate change and land use conversions may also alter demands and impact the replenishment of groundwater supply. Groundwater aquifers are not necessarily confined within municipal and management boundaries, and multiple diverse agencies may manage a shared resource in a decentralized approach, based on individual concerns and resources. The interactions among water managers, consumers, and the environment influence the performance of local management strategies and regional groundwater resources. This research couples an agent-based modeling (ABM) framework and a groundwater model to analyze the effects of different management approaches on shared groundwater resources. The ABM captures the dynamic interactions between household-level consumers and policy makers to simulate water demands under climate change and population growth uncertainties. The groundwater model is used to analyze the relative effects of management approaches on reducing demands and replenishing groundwater resources. The framework is applied for municipalities located in the Verde River Basin, Arizona that withdraw groundwater from the Verde Formation-Basin Fill-Carbonate aquifer system. Insights gained through this simulation study can be used to guide groundwater policy-making under changing hydro-climatic scenarios for a long-term planning horizon.</t>
  </si>
  <si>
    <t>Aquifers; Autonomous agents; Climate change; Computational methods; Coupling agents; Decision making; Environmental management; Groundwater; Groundwater resources; Hydrogeology; Irrigation; Land use; Population statistics; Replenishment (water resources); Software agents; Soil conservation; Water conservation; Water management; Water resources exploration; Watersheds; Decentralized approach; Demand management strategies; Dynamic interaction; Environment influence; Groundwater aquifer; Groundwater modeling; Groundwater withdrawal; Long-term planning horizon; Water resources</t>
  </si>
  <si>
    <t>2-s2.0-84976492570</t>
  </si>
  <si>
    <t>Faust K.M., Abraham D.M.</t>
  </si>
  <si>
    <t>55803401200;7201845111;</t>
  </si>
  <si>
    <t>Dynamic Modeling of Coupled Human and Water Sector Infrastructure Interdependencies in Shrinking Cities</t>
  </si>
  <si>
    <t>Construction Research Congress 2016: Old and New Construction Technologies Converge in Historic San Juan - Proceedings of the 2016 Construction Research Congress, CRC 2016</t>
  </si>
  <si>
    <t>10.1061/9780784479827.151</t>
  </si>
  <si>
    <t>https://www.scopus.com/inward/record.uri?eid=2-s2.0-84976361875&amp;doi=10.1061%2f9780784479827.151&amp;partnerID=40&amp;md5=1301202d7a19f3cfb399133cc801dcbc</t>
  </si>
  <si>
    <t>Water sector infrastructures are interdependent, affecting the performance, and operations of each infrastructure. Demands placed on, and revenues generated for these systems are impacted by human interactions, including price elasticity and consumption. Population decline in shrinking cities has resulted in reduced numbers of customers, leading to underfunded and underutilized systems. This paper develops a hybrid agent based and system dynamics model for quantifying coupled human and water sector infrastructure interdependencies in shrinking cities to explore: water demand, wastewater produced, water utility revenues, and wastewater utility revenues. Data is used from two shrinking cities, published literature, publicly available data, and a survey deployed to residents of 21 shrinking cities to assess water sector interdependencies for small and medium size classifications of cities and cities operating on combined or separate sewer systems, using two Midwestern shrinking cities. This study's significance includes quantifying the endogenous, physical water sector interdependencies, and the exogenous, complex human-infrastructure interactions. The epistemic uncertainty associated with human-infrastructure interactions is explored by incorporating stochastic parameters, enabling the estimation of the range of possible outcomes. Furthermore, the model enables the assessment of interdependencies with parameters tailored to a city's unique characteristics, such as population decline rate, service prices, and precipitation patterns. © ASCE.</t>
  </si>
  <si>
    <t>Population statistics; Stochastic systems; Uncertainty analysis; Water supply; Epistemic uncertainties; Human infrastructure; Human interactions; Infrastructure interdependencies; Precipitation patterns; Stochastic parameters; System dynamics model; Wastewater utilities; Shrinkage</t>
  </si>
  <si>
    <t>2-s2.0-84976361875</t>
  </si>
  <si>
    <t>Ernst A., Kuhn S.</t>
  </si>
  <si>
    <t>55493491600;57085989800;</t>
  </si>
  <si>
    <t>Modelled domestic water demand 2: The deephousehold decision model</t>
  </si>
  <si>
    <t>Regional Assessment of Global Change Impacts: The Project GLOWA-Danube</t>
  </si>
  <si>
    <t>10.1007/978-3-319-16751-0_42</t>
  </si>
  <si>
    <t>https://www.scopus.com/inward/record.uri?eid=2-s2.0-84956469530&amp;doi=10.1007%2f978-3-319-16751-0_42&amp;partnerID=40&amp;md5=968af8baa45f9a182b7d495b1002be36</t>
  </si>
  <si>
    <t>This section presents the DeepHousehold decision model of domestic water demand, a multi-agent model in which the actors decision processes are described explicitly. As such it replaces the shallow Household model. The aggregation of actors to five types according to a lifestyle classification is described. Lifestyles pool groups of individuals that have similar values, socioeconomic status, behaviours and common aesthetic preferences. The lifestyle classification used in this model also provides geo-referenced relative quantities of population for each lifestyle type. Thus, there are five actors for each inhabited proxel in the catchment (N=9,115), giving a total of 9,115*5=45,575 actors. The characteristics of the modelled actors together with their preferences, sensitivity to external events and others are given. Finally, the range of possible applications and types of analyses with the model are depicted, including the definition of test regions, singling out specific water uses, or the behaviour of lifestyle groups. © Springer International Publishing 2016.</t>
  </si>
  <si>
    <t>Agent-based model; Decision-making; Domestic water use; GLOWA-Danube; Lifestyles</t>
  </si>
  <si>
    <t>Catchments; Decision making; Aesthetic preference; Agent-based model; Decision modeling; Domestic water use; Glowa-danube; Lifestyles; Multi-Agent Model; Socio-economic status; Autonomous agents</t>
  </si>
  <si>
    <t>2-s2.0-84956469530</t>
  </si>
  <si>
    <t>Kanta L., Berglund E.Z.</t>
  </si>
  <si>
    <t>35098741000;56394090200;</t>
  </si>
  <si>
    <t>Exploring tradeoffs in demand-side and supply-side management of urban water resources using agent-based modeling and evolutionary computation</t>
  </si>
  <si>
    <t>Systems</t>
  </si>
  <si>
    <t>10.3390/systems3040287</t>
  </si>
  <si>
    <t>https://www.scopus.com/inward/record.uri?eid=2-s2.0-85111471815&amp;doi=10.3390%2fsystems3040287&amp;partnerID=40&amp;md5=fae7ca8eecc07c377379ce4084a61e30</t>
  </si>
  <si>
    <t>Urban water supply systems may be managed through supply-side and demand-side strategies, which focus on water source expansion and demand reductions, respectively. Supply-side strategies bear infrastructure and energy costs, while demand-side strategies bear costs of implementation and inconvenience to consumers. To evaluate the performance of demand-side strategies, the participation and water use adaptations of consumers should be simulated. In this study, a Complex Adaptive Systems (CAS) framework is developed to simulate consumer agents that change their consumption to affect the withdrawal from the water supply system, which, in turn influences operational policies and long-term resource planning. Agent-based models are encoded to represent consumers and a policy maker agent and are coupled with water resources system simulation models. The CAS framework is coupled with an evolutionary computation-based multi-objective methodology to explore tradeoffs in cost, inconvenience to consumers, and environmental impacts for both supply-side and demand-side strategies. Decisions are identified to specify storage levels in a reservoir that trigger: (1) increases in the volume of water pumped through inter-basin transfers from an external reservoir; and (2) drought stages, which restrict the volume of water that is allowed for residential outdoor uses. The proposed methodology is demonstrated for Arlington, Texas, water supply system to identify non-dominated strategies for an historic drought decade. Results demonstrate that pumping costs associated with maximizing environmental reliability exceed pumping costs associated with minimizing restrictions on consumer water use. © 2015 by the authors; licensee MDPI, Basel, Switzerland.</t>
  </si>
  <si>
    <t>Agent-based modeling; Complex adaptive systems analysis; Multi-objective optimization; Sustainability; Urban water resources management</t>
  </si>
  <si>
    <t>2-s2.0-85111471815</t>
  </si>
  <si>
    <t>Jin J., Cui Y., Zhang L., Zhou Y., Wu C.</t>
  </si>
  <si>
    <t>55821195600;56697717500;13612429600;35147406500;55750945600;</t>
  </si>
  <si>
    <t>Simulation and prediction analysis of urban household water demand based on multi-agent</t>
  </si>
  <si>
    <t>Shuili Xuebao/Journal of Hydraulic Engineering</t>
  </si>
  <si>
    <t>10.13243/j.cnki.slxb.20150189</t>
  </si>
  <si>
    <t>https://www.scopus.com/inward/record.uri?eid=2-s2.0-84956981070&amp;doi=10.13243%2fj.cnki.slxb.20150189&amp;partnerID=40&amp;md5=2f4c0b711eb4256d9ee26be4a9fc2b28</t>
  </si>
  <si>
    <t>In this paper, a model named MA-UHWDS, which can analyze the variation trend and influence factors of urban household water demand by constructing different development scenarios, is proposed for the control objective of total water line and the urban household water shortage. The model is applied in Qingdao City, first to calculate the marginal propensity to consume water, basic water demand, and per capita water consumption of different income households with statistics from 2003 to 2012, then simulation and prediction of the per capita water consumption and total urban household water demand from 2013 to 2022 in different scenarios are analyzed quantitatively. The results indicate that average share of expenditure for water use in living expenditure from 2003 to 2012 is just 0.395%, and the shares are so small that the public awareness on water conservation is weak; the per capita water consumption of the lowest income household from 2003 to 2012 are all below the basic water demand except 2008, while the highest is 14.16 m3 higher than that, therefore both the payment ability of the low income household and the overuse of the high should be considered in the reform of water price; compared with the scenario of PlIhSlEl in 2022, the per capita water demand of seven kinds of income households in that of PlIhSlEl decrease 16.7%, 18.4%, 18.1%, 16.1%, 15.0%, 17.8% and 13.8%, respectively, so water price and disposable income could obviously impact the household water demand. MA-UHWDS provides new research idea and tool for total water consumption control. © 2015, China Water Power Press. All right reserved.</t>
  </si>
  <si>
    <t>Extended linear expenditure system model; Multi-agent based modelling; Simulation and prediction; Total water consumption control; Urban household water demand</t>
  </si>
  <si>
    <t>Autonomous agents; Computational methods; Forecasting; Multi agent systems; Water conservation; Control objectives; Development scenarios; Disposable income; Multi agent; Public awareness; System modeling; Urban-household; Water consumption; Water supply</t>
  </si>
  <si>
    <t>2-s2.0-84956981070</t>
  </si>
  <si>
    <t>Giacomoni M.H., Berglund E.Z.</t>
  </si>
  <si>
    <t>35114687100;56394090200;</t>
  </si>
  <si>
    <t>Complex adaptive modeling framework for evaluating adaptive demand management for urban water resources sustainability</t>
  </si>
  <si>
    <t>141</t>
  </si>
  <si>
    <t>04015024</t>
  </si>
  <si>
    <t>10.1061/(ASCE)WR.1943-5452.0000543</t>
  </si>
  <si>
    <t>https://www.scopus.com/inward/record.uri?eid=2-s2.0-84939215445&amp;doi=10.1061%2f%28ASCE%29WR.1943-5452.0000543&amp;partnerID=40&amp;md5=7ba081ad4d44e0f26cbebbe05de71c69</t>
  </si>
  <si>
    <t>New water resources management methodologies are needed to address increasing demands and future uncertainty for urban water resources. Adaptive water demand management strategies provide an approach to improve the efficiency of water system operations and meet water demands by adapting flexibility to increasing stresses, such as droughts. This study simulates adaptive water demand management through the development of a complex adaptive system modeling framework, which couples cellular automata modeling, agent-based modeling, and hydrologic modeling to simulate land-use change, consumer behaviors, management decisions, the rainfall-runoff process, and reservoir storage. The model is applied to simulate the effect of demand management strategies on reductions in municipal water demands and on the sustained storage in a surface water supply reservoir. Historic and projected climate change hydroclimatic time series are used to assess the effectiveness of domestic water restrictions, including outdoor watering restrictions, a rainwater harvesting rebate program, and a high-density land-use change policy. Strategies are adaptively implemented based on the amount of water storage available. The framework is applied to evaluate strategies for the Arlington, Texas, metropolitan area that historically suffers from severe droughts. The framework provides an approach to evaluate a combination of multiple strategies for effectively managing the increasing stresses caused by urbanization, population growth, and climate change. Results demonstrate that adaptive demand management strategies that respond to water shortages result in long-term per capita demand reductions. For climate projections that forecast severe water shortages, development density strategies are more effective than rainwater harvesting strategies, and a combination of strategies can reduce the need for interbasin transfers and maintain reservoir volumes. ï¿½ 2015 American Society of Civil Engineers.</t>
  </si>
  <si>
    <t>Adaptive management; Complex adaptive systems; Demand management; Drought management; Water resources sustainability</t>
  </si>
  <si>
    <t>Adaptive systems; Autonomous agents; Climate change; Computational methods; Consumer behavior; Decision support systems; Drought; Electric load management; Forestry; Land use; Population statistics; Rain; Reservoir management; Reservoirs (water); Storage management; Surface waters; Sustainable development; Water management; Water supply; Adaptive Management; Cellular automata modeling; Complex adaptive systems; Demand management strategies; Drought management; Rainfall-runoff process; Water Demand Management; Water resources management; Water resources; adaptive management; demand-side management; drought; hydrological modeling; modeling; sustainability; urban planning; water demand; water resource; water supply; Texas; United States</t>
  </si>
  <si>
    <t>2-s2.0-84939215445</t>
  </si>
  <si>
    <t>Roche R., Suryanarayanan S., Hansen T.M., Kiliccote S., Miraoui A.</t>
  </si>
  <si>
    <t>36810264000;21834657200;55388919400;25928395100;15064318000;</t>
  </si>
  <si>
    <t>A multi-agent model and strategy for residential demand response coordination</t>
  </si>
  <si>
    <t>2015 IEEE Eindhoven PowerTech, PowerTech 2015</t>
  </si>
  <si>
    <t>7232268</t>
  </si>
  <si>
    <t>10.1109/PTC.2015.7232268</t>
  </si>
  <si>
    <t>https://www.scopus.com/inward/record.uri?eid=2-s2.0-84951304195&amp;doi=10.1109%2fPTC.2015.7232268&amp;partnerID=40&amp;md5=630cac7f526e3dc809254da5815df74c</t>
  </si>
  <si>
    <t>This paper proposes a multi-agent model and strategy for aggregator-based residential demand response, and details how elements in the system interact to solve an issue requiring load to be temporarily decreased. The system uses assets such as plug-in hybrid electric vehicles, air conditioning units, and electric water heaters to achieve this goal. Simulation results, based on probabilistic models and run on bus 5 of the RBTS test system, show that the system is capable of meeting the design objectives by shifting or shedding load so that the aggregate load remains under a given threshold. Results at the customer level also show that the impact on the comfort of customers is limited. © 2015 IEEE.</t>
  </si>
  <si>
    <t>coordination; demand response; multi-agent systems; smart grid</t>
  </si>
  <si>
    <t>Air conditioning; Crashworthiness; Electric load shedding; Electric power transmission networks; Housing; Hybrid vehicles; Plug-in hybrid vehicles; Water heaters; Air conditioning units; coordination; Demand response; Design objectives; Electric water heaters; Plug in hybrid electric vehicles; Probabilistic models; Smart grid; Multi agent systems</t>
  </si>
  <si>
    <t>2-s2.0-84951304195</t>
  </si>
  <si>
    <t>Sissa G., Damiani E.</t>
  </si>
  <si>
    <t>15842381200;57195375517;</t>
  </si>
  <si>
    <t>An agent-based model for awareness-based sustainability</t>
  </si>
  <si>
    <t>Green Services Engineering, Optimization, and Modeling in the Technological Age</t>
  </si>
  <si>
    <t>10.4018/978-1-4666-8447-8.ch006</t>
  </si>
  <si>
    <t>https://www.scopus.com/inward/record.uri?eid=2-s2.0-84957403483&amp;doi=10.4018%2f978-1-4666-8447-8.ch006&amp;partnerID=40&amp;md5=5d65fc4caad87da3d406d5ebe34fdba9</t>
  </si>
  <si>
    <t>This chapter discusses the effects of social interaction on collective behavior regarding the reduction of limited-resource consumption. Our working hypothesis is that key societal and psychological mechanisms leading to sustainable lifestyles can be enabled by ICT tools. We envision tools supporting social norms, i.e. rules governing an individual's by social sanctions that encourage sustainable behavior on the part of user and consumers. As enabling technology we identify smart metering systems that allows users to compare their consumption patterns with the ones of other consumers, as well as to dynamically re-define and share their personal reduction goals. We present an Agent-Based Model (ABM) to explore the role of awareness in the consumption of a scarce resource. Our agents represent households that use a resource - e.g. energy or water - whose consumption has to be reduced. Agents influence each other; such influence improves their awareness that, in turn, impacts on resource consumption. © 2015, IGI Global. All rights reserved.</t>
  </si>
  <si>
    <t>Autonomous agents; Consumer behavior; Agent-based model; Collective behavior; Consumption patterns; Enabling technologies; Resource consumption; Scarce resources; Smart metering systems; Social interactions; Computational methods</t>
  </si>
  <si>
    <t>2-s2.0-84957403483</t>
  </si>
  <si>
    <t>Wossen T., Berger T.</t>
  </si>
  <si>
    <t>55928410900;55217189300;</t>
  </si>
  <si>
    <t>Climate variability, food security and poverty: Agent-based assessment of policy options for farm households in Northern Ghana</t>
  </si>
  <si>
    <t>Environmental Science and Policy</t>
  </si>
  <si>
    <t>47</t>
  </si>
  <si>
    <t>10.1016/j.envsci.2014.11.009</t>
  </si>
  <si>
    <t>https://www.scopus.com/inward/record.uri?eid=2-s2.0-84916910927&amp;doi=10.1016%2fj.envsci.2014.11.009&amp;partnerID=40&amp;md5=135c5cf6ca1e527de96c33705888d5a0</t>
  </si>
  <si>
    <t>According to the majority of regional climate projections, Sub-Saharan Africa (SSA) will likely become warmer in the next decades and rainfall patterns will substantially shift. Understanding the effect of climate variability on food security and poverty and identifying effective adaptation measures in the context of subsistence agriculture is imperative to ensure food security now and in the future. This article presents a micro-level simulation study that was undertaken for Northern Ghana, building on the approach and data developed within a research project of the CGIAR Challenge Programme on Water and Food. The study applied agent-based modelling to analyse how adaptation affects the distribution of household food security and poverty under current climate and price variability. Specifically, we examined the effectiveness of policy interventions related to the promotion of agricultural credit and off-farm employment opportunities. Our simulation experiments suggest that both climate and price variability have a pronounced negative effect on household welfare. Moreover, we found substantial difference in the poverty and food security status of households due to climate and price variability. Provision of agricultural credit and access to off-farm employment are found to be highly effective policy entry points that deserve more empirical research. © 2014 Elsevier Ltd.</t>
  </si>
  <si>
    <t>Bio-economic modelling; Climate impact assessment; Food security; Mixed rain-fed agriculture; Multi-agent systems; Policy simulation</t>
  </si>
  <si>
    <t>Article; climate change; employment status; energy consumption; food crop; food intake; food security; Ghana; harvest; household; human; income; market; policy; poverty</t>
  </si>
  <si>
    <t>2-s2.0-84916910927</t>
  </si>
  <si>
    <t>Ozik J., Collier N., Murphy J.T., Altaweel M., Lammers R.B., Prusevich A.A., Kliskey A., Alessa L.</t>
  </si>
  <si>
    <t>6506796192;16041252300;55678855600;15031245100;7005496937;36572451300;35617863300;6603254543;</t>
  </si>
  <si>
    <t>Simulating Water, Individuals, and Management using a coupled and distributed approach</t>
  </si>
  <si>
    <t>2015-January</t>
  </si>
  <si>
    <t>7019970</t>
  </si>
  <si>
    <t>10.1109/WSC.2014.7019970</t>
  </si>
  <si>
    <t>https://www.scopus.com/inward/record.uri?eid=2-s2.0-84940550390&amp;doi=10.1109%2fWSC.2014.7019970&amp;partnerID=40&amp;md5=ec9552297d5b1c9757c3d5c985a9ee76</t>
  </si>
  <si>
    <t>Water is a key issue in sustainable urban development. SWIM (Simulating Water, Individuals and Management) is an agent-based model of water supply, management structure, and residential water consumer perception and behavior. Initial work applied data mining on newspaper articles to map networks of water management institutions and structures. SWIM extends this by linking an agent-based model of residential water consumption connected via networks of water managers to a global-scale hydrological model. In our case study, we focus on Tucson, Arizona, where management and social behaviors are well documented. Census data are used to create synthetic populations of consumers endowed with price sensitivity and behaviors impacting water use. Social networks, including those based on geographic proximity, allow water use behaviors to spread to others. We examine possible factors leading to recent attested declines in per-capita water use, leveraging ensemble runs on high-performance computing resources using the Swift parallel scripting language to strategically explore complex parameter spaces. © 2014 IEEE.</t>
  </si>
  <si>
    <t>Autonomous agents; Computational methods; Consumer behavior; Data mining; Housing; Population statistics; Simulation platform; Urban growth; Water management; Water supply; Distributed approaches; Geographic proximity; High-performance computing resources; Hydrological modeling; Management structure; Scripting languages; Sustainable urban development; Synthetic populations; Information management</t>
  </si>
  <si>
    <t>2-s2.0-84940550390</t>
  </si>
  <si>
    <t>Klassert C., Sigel K., Gawel E., Klauer B.</t>
  </si>
  <si>
    <t>55797570700;10244151500;6505918661;57191781642;</t>
  </si>
  <si>
    <t>Modeling residential water consumption in amman: The role of intermittency, storage, and pricing for piped and tanker water</t>
  </si>
  <si>
    <t>7</t>
  </si>
  <si>
    <t>10.3390/w7073643</t>
  </si>
  <si>
    <t>https://www.scopus.com/inward/record.uri?eid=2-s2.0-84940398881&amp;doi=10.3390%2fw7073643&amp;partnerID=40&amp;md5=af282c169af74cfba1d24f7beb6c0383</t>
  </si>
  <si>
    <t>Jordan faces an archetypal combination of high water scarcity, with a per capita water availability of around 150 m3 per year significantly below the absolute scarcity threshold of 500 m3, and strong population growth, especially due to the Syrian refugee crisis. A transition to more sustainable water consumption patterns will likely require Jordan's water authorities to rely more strongly on water demand management in the future. We conduct a case study of the effects of pricing policies, using an agent-based model of household water consumption in Jordan's capital Amman, in order to analyze the distribution of burdens imposed by demand-side policies across society. Amman's households face highly intermittent piped water supply, leading them to supplement it with water from storage tanks and informal private tanker operators. Using a detailed data set of the distribution of supply durations across Amman, our model can derive the demand for additional tanker water. We find that integrating these different supply sources into our model causes demand-side policies to have strongly heterogeneous effects across districts and income groups. This highlights the importance of a disaggregated perspective on water policy impacts in order to identify and potentially mitigate excessive burdens. © 2015 by the authors; licensee MDPI, Basel, Switzerland.</t>
  </si>
  <si>
    <t>Agent-based model; Consumer surplus; Demand-side policies; Household water consumption; Hydro-economics; Intermittent supply; Jordan; Long-term sustainability; Socio-hydrology; Water scarcity; Water tankers</t>
  </si>
  <si>
    <t>Autonomous agents; Computational methods; Digital storage; Economics; Population statistics; Water conservation; Water management; Water supply; Agent-based model; Consumer surplus; Demand-side; Household water; Intermittent supply; Jordan; Long-term sustainability; Water scarcity; Water tanks; demand-side management; numerical model; pricing policy; sustainability; water availability; water management; water supply; water use; Amman; Jordan</t>
  </si>
  <si>
    <t>2-s2.0-84940398881</t>
  </si>
  <si>
    <t>Al-Amin S., Berglund E.Z., Larson K.L.</t>
  </si>
  <si>
    <t>55946392500;56394090200;7102155246;</t>
  </si>
  <si>
    <t>Agent-based modeling to simulate demand management strategies for shared groundwater resources</t>
  </si>
  <si>
    <t>World Environmental and Water Resources Congress 2015: Floods, Droughts, and Ecosystems - Proceedings of the 2015 World Environmental and Water Resources Congress</t>
  </si>
  <si>
    <t>10.1061/9780784479162.203</t>
  </si>
  <si>
    <t>https://www.scopus.com/inward/record.uri?eid=2-s2.0-84935093233&amp;doi=10.1061%2f9780784479162.203&amp;partnerID=40&amp;md5=ba498ad205286ff06fb3b84749d33742</t>
  </si>
  <si>
    <t>Growing population centers in the arid southwest increase the demand for water, which is typically met through increased groundwater withdrawals. Hydro-climatic extremes due to climate change may also increase demands and decrease the replenishment of groundwater supply. Groundwater aquifers typically cross watershed, municipal, and management boundaries, and as a result, multiple diverse agencies manage a shared resource. Municipalities and management districts define individual demand management strategies that adapt water consumption to falling groundwater levels. The interactions among governing agencies, consumers, and the environment influence the performance of local management strategies and the availability of regional groundwater resources. This research develops an agent-based modeling (ABM) framework to analyze the dynamic interactions among changing water demands and limited groundwater resources under the stresses of population growth and climate change scenarios. Households are initialized as agents with properties and attributes to define indoor water use, outdoor water use, and water use reduction. Policy-maker agents are encoded to represent governing agencies that mandate or encourage water use restrictions. Demand management strategies are simulated as the response of a policy-maker agent to groundwater levels, safe yield, and climate variables. The framework is applied for municipalities located in the Verde River Basin, Arizona that withdraw groundwater from the Verde Formation-Basin Fill-Carbonate aquifer system. The effects of management strategies on water savings and basin-wide groundwater levels are explored, based on water use demands and reductions in different sectors of municipal water use. Insights gained through this simulation study can be used to guide groundwater policy-making under changing hydro-climatic scenarios for a long-term planning horizon. © 2015 ASCE.</t>
  </si>
  <si>
    <t>Aquifers; Autonomous agents; Climate change; Computational methods; Decision making; Drought; Ecology; Ecosystems; Floods; Groundwater; Hydrogeology; Population statistics; Replenishment (water resources); Water management; Water resources; Water supply; Climate change scenarios; Demand management strategies; Environment influence; Groundwater aquifer; Groundwater withdrawal; Long-term planning horizon; Management strategies; Water use reductions; Groundwater resources</t>
  </si>
  <si>
    <t>2-s2.0-84935093233</t>
  </si>
  <si>
    <t>AEI 2015: Birth and Life of the Integrated Building - Proceedings of the AEI Conference 2015</t>
  </si>
  <si>
    <t>https://www.scopus.com/inward/record.uri?eid=2-s2.0-84926629030&amp;partnerID=40&amp;md5=65380cb40018d52f3cb759f41a043e0f</t>
  </si>
  <si>
    <t>The proceedings contain 71 papers. The topics discussed include: information exchange standardization for BIM application to multi-story modular residential buildings; LEED embedded building information modeling system; MESH: integrating BIM, engineering, and fabrication into the architectural design studio; comparison of energy efficiency strategies for mosques in the United Arab Emirates; development of multi-linear regression model to predict energy consumption in the early stages of building design; response of meso-scale energy harvesters coupled with dynamic floor systems; simulating the impact of feedback on energy consumption and emission production in commercial buildings using agent-based approach; and a study on effect of water tanks modeled as tuned mass dampers on dynamic properties of structures.</t>
  </si>
  <si>
    <t>2-s2.0-84926629030</t>
  </si>
  <si>
    <t>2013 International Forum on Computer and Information Technology, IFCIT 2013</t>
  </si>
  <si>
    <t>Applied Mechanics and Materials</t>
  </si>
  <si>
    <t>519-520</t>
  </si>
  <si>
    <t>https://www.scopus.com/inward/record.uri?eid=2-s2.0-84895106687&amp;partnerID=40&amp;md5=878c2b0c23f59c277030e9be3d41f908</t>
  </si>
  <si>
    <t>The proceedings contain 335 papers. The special focus in this conference is on Computer and Information Technology. The topics include: A framework for processing water resources big data and application; accurate location in batch dynamic provable data possession; construction of data warehouse platform in continual quality improvement; research on technology of CRM stored procedure; research on SQL performance optimization of CRM stored procedure; design of E-archives portfolio system based on signature technology; the research of distributed bitmap index; analysis of distributed computing architecture search principle based on hadoop; study on object-storage system metadata load balancing; time synchronization method for parallel traffic simulation framework; research on parallel yen algorithms on GPUs using CUDA; GPU accelerated reconstruction in Compton scattering tomography using matrix compression; parallel scheduling algorithms investigation of support strict resource reservation from grid; a dynamic back-off algorithm in ad hoc networks; research on network security issues and security model; the web foreign language teaching research based on P2P technology; a novel response time-driven replica selection approach for cloud computing; a novel response time-driven replica selection approach for cloud computing; a security routing protocol based on convergence degree and trust; a trust system design for future SCADA network security; the micro-blogging network leading group recognition algorithm; the design of PMP-AODV routing protocol in wireless mesh network; the application of data mining in the honeypot system; cloud security system construction and its concrete realization; simple encryption research based on heterogeneous system; robustness of autocatalytic set in a model of evolving network; research on MANET-based reliable zone routing protocol; research on improved Floyd routing algorithm in opportunistic networks; research and realization of custom form realization method based on HTML and XML technology; research of improved network access authorization mechanism based on elliptic curve; friend-based prediction routing protocol in socially-aware opportunistic networks; on general number field sieve and its polynomial selection; measuring the use of real-name policy in micro-blogging of China; a framework for service composition based on template; secure access platform improved system based on regional division; task scheduling research based on dynamic backup in cloud environment; research of parasitic communication model based on network behavior features; a dynamic malware detection approach by mining the frequency of API calls; a general framework of professional image processing system based on UML; using context to discern user tasks on desktop; a research into the UML legend in the waterfall model development; the research and design of library OA system; software engineering based on object management Petri net; research on the chessboard representations of checkers; quick task queue management software design; a hardware sandbox using processor virtualization for untrusted native code; realization of a 3D model render on mobile terminal based on X3D; study on the personnel training mode of E-commerce major; EDI in E-commerce application and safety measures; effect of E-commerce on development of enterprises; factors and models analysis of consumer trust on E-commerce; research and application of mobile agent in E-commerce system; cryptanalysis of a certificateless partially blind signature; 3D video transmission system for China mobile multimedia broadcasting; the study of client design in the background of personalized and customized E-textbook; the architecture and implementation of interactive broadcasting based on CMMB; comparison and analysis of MAC protocol in multimedia communications; research on time-domain correlation technique based on ZC sequences in OFDM system; realization of automatic keystone correction for smart mini projector projection screen; music recommendation with collaborative filtering for mobile services; digital watermarking based on wavelet and chaotic mapping; research of television boot-strap information delivery based on user profiles; a new image segmentation model; an affine SIFT matching algorithm based on local patch shape estimation; super-resolution by POCS-SIFT approach; classification-based character segmentation of image; study of fingerprint image feature extraction algorithm; study of fingerprint image preprocessing technology; overview of pixel level image fusion algorithm; a fast extraction method of water boundary based on the landsat tm image; non-western script based off-line handwritten signature technology; a new local self-similarity descriptor based on structural similarity index; leaf boundary extraction with a wind noise method; the design and implementation of track region segmentation algorithm; real-time video stabilization based on smoothing feature trajectories; git recognition with incomplete GEI based on random forests; a new image irradiance equation for perspective shape from shading of hybrid surfaces; a ship detection model in optical satellite image; covariance tracking algorithm on bilateral filtering under lie group structure; head pose estimation via direction-sensitive feature and random regression forests; a clustering algorithm based on gravitation; trend analysis of product function using sequential pattern mining; a novel distributed jointly sparse optimization algorithm; a novel quantum genetic algorithm in TSP; research on intelligent decision method based on grey system theory in the prediction of grain yield in Jilin province; fast and effective algorithm of iris localization based on Hough transform; improved self-adaptive glowworm swarm optimization algorithm; text classification using SVM with exponential kernel; fractal analysis of the optimal objective function; approaches of ontological concept mapping based on multi-strategy; collision detection based on SIMD model; an improved method of short text feature extraction based on words co-occurrence; an enhanced fuzzy information retrieval model based on linguistics; the properties related to the moment generating function of the fuzzy variable; strong consistency of maximum likelihood estimators n exponential sequential model; generalized nonlinear volterra-fredholm type sum-difference inequality; research on computer aided index system establishment of SWOT; an effective cell spreading method for force-directed global placement; the application of computer-aided design in architectural decoration design; MGF-based effective capacity for generalized fading channels; a pilot design method based on cyclic shift PTS; generating idempotents of quartic residue codes over the field; negotiation protocol for location privacy; irregular sampling of GPS signal for real-time implementation of pipelined PFFT; the optimized scheme of CDR collecting and abnormity monitoring; peak-to-average power ratio distribution of OFDM visible light communication systems; FPGA-based improved decoding algorithm of LDPC codes; an improved parameter estimation algorithm based on FFT for LFM signal; efficient LLR optimization based on GMI for LDPC coded BICM systems; a novel approach for PAPR reduction of NC-OFDM system; covariance-based wavefield separation and its application in crosswell seismic data; a novel decoupled LOS rate estimator for terminal guidance; coarse-to-fine 3D randomized Hough transform for dim target detection; blind complex source separation based on cyclostationary statistics; a new no op amp full CMOS voltage reference circuit; a threshold speed computation algorithm in adaptive DVS scheduling; the application of UKF algorithm for 18650-type lithium battery SOH estimation; a large signal model to improve linearity of Rf power amplifier; design of a low-phase-noise LC voltage controlled oscillator; DSP based novel high voltage high frequency electric source with self-tuning ability; design of DC-DC module for 300W photovoltaic inverter; handheld lighting circuit detector based on alternating electric field; the test system of PXI-based aeronautic equipment; research on Manchester coded mud pulse signal extraction; multi-temperature parameter display system design; implementation of electric data sheet based on virtual instrument; a fault diagnosis model for power transformer using association rule mining-based on rough set; influencing of spatial information distribution and transformation model on quality of coordinate transformation; the research of auto-composing test paper technology based on genetic algorithm; network agent based on VISA framework for instruments; an improved routing algorithm based on LEACH for WSN; RSSI ranging algorithm based on polynomial piecewise fitting; using rank-defect free net adjustment to optimize GPS; distributed malicious nodes detection in wireless sensor networks; a high-throughput imaging spectrometer based on over-scanning; compressed sensing-based data gathering in WSN; a wireless sensor network node coverage discriminant model based on the average distance of neighbor node; design and realization of the kalman filter based on LabVIEW; preliminary analysis on the wind retrieval method in nowcasting; a class of difference inequality and an application to discrete-time control systems; the pest management model with impulsive control; an improvement of IED configuration tool and modeling for transformer condition monitoring IED; study of electric power grid based on improved data envelopment analysis model; study on a pneumatic inspection micro robot; study on energy-saving control system of smart home.</t>
  </si>
  <si>
    <t>2-s2.0-84895106687</t>
  </si>
  <si>
    <t>Mellor J., Abebe L., Ehdaie B., Dillingham R., Smith J.</t>
  </si>
  <si>
    <t>55336424100;24066507700;15843181400;57216109041;57205397027;</t>
  </si>
  <si>
    <t>Modeling the sustainability of a ceramic water filter intervention</t>
  </si>
  <si>
    <t>Water Research</t>
  </si>
  <si>
    <t>49</t>
  </si>
  <si>
    <t>10.1016/j.watres.2013.11.035</t>
  </si>
  <si>
    <t>https://www.scopus.com/inward/record.uri?eid=2-s2.0-84890695252&amp;doi=10.1016%2fj.watres.2013.11.035&amp;partnerID=40&amp;md5=11ce1098f1b85f6296d7a5a050ecd16e</t>
  </si>
  <si>
    <t>Ceramic water filters (CWFs) are a point-of-use water treatment technology that has shown promise in preventing early childhood diarrhea (ECD) in resource-limited settings. Despite this promise, some researchers have questioned their ability to reduce ECD incidences over the long term since most effectiveness trials conducted to date are less than one year in duration limiting their ability to assess long-term sustainability factors. Most trials also suffer from lack of blinding making them potentially biased. This study uses an agent-based model (ABM) to explore factors related to the long-term sustainability of CWFs in preventing ECD and was based on a three year longitudinal field study. Factors such as filter user compliance, microbial removal effectiveness, filter cleaning and compliance declines were explored. Modeled results indicate that broadly defined human behaviors like compliance and declining microbial effectiveness due to improper maintenance are primary drivers of the outcome metrics of household drinking water quality and ECD rates. The model predicts that a ceramic filter intervention can reduce ECD incidence amongst under two year old children by 41.3%. However, after three years, the average filter is almost entirely ineffective at reducing ECD incidence due to declining filter microbial removal effectiveness resulting from improper maintenance. The model predicts very low ECD rates are possible if compliance rates are 80-90%, filter log reduction efficiency is 3 or greater and there are minimal long-term compliance declines. Cleaning filters at least once every 4 months makes it more likely to achieve very low ECD rates as does the availability of replacement filters for purchase. These results help to understand the heterogeneity seen in previous intervention-control trials and reemphasize the need for researchers to accurately measure confounding variables and ensure that field trials are at least 2-3 years in duration. In summary, the CWF can be a highly effective tool in the fight against ECD, but every effort should be made by implementing agencies to ensure consistent use and maintenance. © 2013 Elsevier Ltd.</t>
  </si>
  <si>
    <t>ABM; Africa; Agent-based modeling; Ceramic water filters; Complex systems; Developing country; Diarrhea; ECD; Household water treatment; HWT; Point-of-use; POU; WASH; Water quality</t>
  </si>
  <si>
    <t>Autonomous agents; Behavioral research; Ceramic materials; Computational methods; Developing countries; Large scale systems; Maintenance; Potable water; Simulation platform; Sustainable development; Washing; Water filtration; Water quality; Africa; Agent-based model; Diarrhea; Household water; Point of use; Water filters; Water treatment; drinking water; ceramics; compliance; diarrheal disease; disease incidence; disinfection; drinking water; filter; filtration; hygiene; maintenance; sanitation; sustainability; water quality; water supply; water treatment; article; ceramic water filter; childhood disease; cleaning; diarrhea; environmental sustainability; equipment maintenance; field study; filter; household; human; human activities; longitudinal study; microbial contamination; morbidity; prevalence; priority journal; protocol compliance; risk assessment; risk factor; water quality; Africa; ABM; Africa; Agent-based modeling; Ceramic water filters; Complex systems; Developing country; Diarrhea; ECD; Household water treatment; HWT; Point-of-use; POU; WASH; Water quality; Ceramics; Child; Diarrhea; Filtration; Humans; Models, Theoretical; Water Purification; Water Quality</t>
  </si>
  <si>
    <t>2-s2.0-84890695252</t>
  </si>
  <si>
    <t>Empirical Acceptance-Resistance Agent-Based Modeling Approach for Simulating the Adoption of Water Reuse</t>
  </si>
  <si>
    <t>World Environmental and Water Resources Congress 2014: Water Without Borders - Proceedings of the 2014 World Environmental and Water Resources Congress</t>
  </si>
  <si>
    <t>10.1061/9780784413548.183</t>
  </si>
  <si>
    <t>https://www.scopus.com/inward/record.uri?eid=2-s2.0-84935522160&amp;doi=10.1061%2f9780784413548.183&amp;partnerID=40&amp;md5=c533d933bc79ffc5920cc582dfbc22ef</t>
  </si>
  <si>
    <t>Though water reuse provides a promising and sustainable alternative for urban water supply, wide-scale implementation of water reuse within an existing water infrastructure system is challenged by the need for community-wide public acceptance and adoption. The public has historically perceived recycled water negatively, and, as a consequence, water reuse is typically omitted in the development of municipal water management plans. Consumer's base acceptance and rejection of new technologies on an intuitive analysis of their risks and benefits and their perceptions may change over time based on interactions with other consumers, decision makers, and engineering infrastructure systems. This research creates a modeling framework to simulate the changing perceptions of consumers and their adoption of water reuse. The modeling framework is used to develop understanding about the mechanisms that drive the dynamic evolution of perceptions, which can aid the planning and decision-making process for the integration of water reuse within existing water systems. This research develops an acceptance-resistance agent-based model to simulate the adoption and rejection of water reuse based on a "risk publics" framework, which is a theoretical model of how different groups perceive new technologies. The risk publics framework uses the perception of risk and benefits to determine the potential of households to adopt or resist new technology. Consumers are represented as agents, and their behaviors and attributes are developed using survey data of the U.S. population, which measures attitudes, knowledge, and behavioral intentions for recycled water. The data are analyzed to determine empirical relationships among individuals, the presence of social groups, and informational and communicative variables governing individual use of reclaimed water. The variables are encoded in the agent-based modeling framework to simulate the key social mechanisms that affect consumer acceptance of water reuse. The framework couples the acceptance-resistance agent-based model of consumers, an agent-based model of utility management, and water distribution system models of the drinking and reclaimed water systems. The framework will be used to explore the interactions among consumer behavior, management strategies, water reuse infrastructure, and the existing water supply infrastructure with adoption of water reuse. © 2014 American Society of Civil Engineers.</t>
  </si>
  <si>
    <t>Autonomous agents; Computational methods; Consumer behavior; Decision making; Digital storage; Management science; Population statistics; Potable water; Recycling; Risk assessment; Risk perception; Wastewater reclamation; Water distribution systems; Water management; Water recycling; Water resources; Water supply; Water supply systems; Waterworks; Agent based modeling frameworks; Decision making process; Empirical relationships; Engineering infrastructure; Management strategies; Reclaimed water systems; Water distribution system models; Water supply infrastructures; Water conservation</t>
  </si>
  <si>
    <t>2-s2.0-84935522160</t>
  </si>
  <si>
    <t>Ali A.M., Shafiee M.E., Berglund E.Z., Arumugam S.</t>
  </si>
  <si>
    <t>56710838600;36188902500;56394090200;6603489730;</t>
  </si>
  <si>
    <t>An Agent-Based Modeling Approach to Simulate the Dynamics of Water Supply and Water Demand</t>
  </si>
  <si>
    <t>10.1061/9780784413548.179</t>
  </si>
  <si>
    <t>https://www.scopus.com/inward/record.uri?eid=2-s2.0-84935481889&amp;doi=10.1061%2f9780784413548.179&amp;partnerID=40&amp;md5=6477512b93f59ddc55b2e8d927d68eca</t>
  </si>
  <si>
    <t>Water resources management requires an insightful balance between water demand and water supply. U.S. water supply is at risk of shortage due to population growth, land use changes, climate change, and water use behaviors of customers. Long-term water supply planning is conventionally based on projections of population growth and demands; however, the sustainability of water resources depends on the dynamic interactions among the environmental, technological, and social characteristics of the water system and local population. This research develops a sociotechnical model to simulate the interactions among the social and engineering systems. An agent-based model (ABM) is used to simulate households and water-use behaviors and is coupled with a set of technical models, including climate change projections, a hydrological watershed model, and a water reservoir model. The ABM framework simulates population growth as an increase in the number of household agents, which affects the water supply and demand balance through increasing demands. Household agents increase irrigation demands due to climate change and decrease indoor demands as they adopt low-flow appliances. Agents also respond to drought restrictions by limiting their use of water for outdoor application. The effects of these actions on the reservoir storage are simulated using engineering models and data describing the climatological and hydrological conditions of the watershed. The ABM framework is developed and demonstrated for the Raleigh, North Carolina, water supply system, which withdraws water from the Falls Lake Reservoir. The model is tested against historic data (1983-2013) and is used to explore the effectiveness of policies for the period 2013-2033. Conservation programs and drought restrictions are simulated to evaluate the need to develop new water sources in the future. The ABM framework facilitates simulations that generate new insight about the dynamics involved in the sustainability of water supply and demand. © 2014 American Society of Civil Engineers.</t>
  </si>
  <si>
    <t>Autonomous agents; Climate change; Climate models; Computational methods; Digital storage; Drought; Economics; Land use; Population statistics; Reservoirs (water); Sustainable development; Water supply; Water supply systems; Watersheds; Climate change projections; Conservation programs; Dynamic interaction; Hydrological condition; Sociotechnical model; Water resources management; Water supply and demands; Water supply planning; Water resources</t>
  </si>
  <si>
    <t>2-s2.0-84935481889</t>
  </si>
  <si>
    <t>Complex Adaptive System Framework to Simulate Adaptations of Human-Environmental Systems to Climate Change and Urbanization: The Verde River Basin</t>
  </si>
  <si>
    <t>10.1061/9780784413548.181</t>
  </si>
  <si>
    <t>https://www.scopus.com/inward/record.uri?eid=2-s2.0-84935435479&amp;doi=10.1061%2f9780784413548.181&amp;partnerID=40&amp;md5=d9efdd92d541b6d471c8ba2bbf41ae69</t>
  </si>
  <si>
    <t>Water management in the arid western United States must address imminent increases in freshwater withdraws due to population growth and climate change. Stresses in the water supply system can be addressed through demand management, which restricts water uses or instates bans, incentivizes toilet retrofits or landscape conversions, and encourages conservation through outreach and education. These policies rely on the behaviors, compliance, and conservation of residential and agricultural users. This research develops a complex adaptive system (CAS) framework to analyze the dynamic interactions between changing water demands and limited water resources for population growth, land use conversion, and climate change scenarios. Water supply and demand for the arid Verde River Basin is explored through an agent-based model (ABM). Three types of agents are encoded, including policy makers (utility managers/planners) and agricultural and residential water users. Agents are initialized with business-as-usual behaviors, a set of signals, demand-reduction actions, and supply-augmentation actions. ABMs are coupled with water infrastructure models, which are in turn forced with hydro-climate and water demand projections to capture the feedbacks and simulate policy and consumer-level agents' roles in promoting balance between water demands and supplies. To determine the dynamics of societal responses to hydro-climatic extremes and the likelihood of water system adaptations to environmental change in the future, this research explores data about sociopolitical responses and actions by analyzing existing policies and management strategies. By synthesizing these data, a timeline of events and estimates for the relative probability of actions being taken are generated and used to encode policy-maker agents. The ABM framework provides important insights into the dynamic interaction of sociotechnical variables by simulating potential feedbacks of human-environmental and hydro-ecological systems that arise from adaptations to climate change and growth. Insight gained through this simulation study can be used to guide policy making under changing hydro-climatic scenarios over a long-term planning horizon. © 2014 American Society of Civil Engineers.</t>
  </si>
  <si>
    <t>Adaptive systems; Agriculture; Autonomous agents; Climate models; Computational methods; Decision making; Economics; Housing; Information management; Land use; Population statistics; Water management; Water resources; Water supply; Water supply systems; Watersheds; Climate change scenarios; Complex adaptive systems; Environmental systems; Long-term planning horizon; Management strategies; Water demand projections; Water supply and demands; Western United States; Climate change</t>
  </si>
  <si>
    <t>2-s2.0-84935435479</t>
  </si>
  <si>
    <t>Ali A.M., Kandiah V., Berglund E.Z.</t>
  </si>
  <si>
    <t>56710838600;55355710500;56394090200;</t>
  </si>
  <si>
    <t>Multiobjective Optimization to Explore Tradeoffs in Rainwater Harvesting Strategies for Urban Water Sustainability</t>
  </si>
  <si>
    <t>10.1061/9780784413548.180</t>
  </si>
  <si>
    <t>https://www.scopus.com/inward/record.uri?eid=2-s2.0-84935428150&amp;doi=10.1061%2f9780784413548.180&amp;partnerID=40&amp;md5=3acc45b9c83af187ca5308446f4a4f38</t>
  </si>
  <si>
    <t>Urban water systems are designed for centralized management, where water is collected at a central location, treated, and delivered to a population of users through a pipe network. Decentralized systems may generate water and energy savings beyond conventional approaches, as they reduce the demands on the potable drinking water system and the energy required for treatment and conveyance. For example, rainwater harvesting systems that are installed at individual lots can be used to capture and reuse rainwater to irrigate lawns. This research explores the tradeoffs among infrastructure costs, energy savings, and water savings as consumers adopt rainwater harvesting within an existing centralized water supply system. The presence of rainwater harvesting within a community of individual households is a sociotechnical process, as interactions among existing water supply infrastructure, utility managers, and consumers can influence the adoption of decentralized technologies and the performance of centralized infrastructure. The urban water supply system is simulated as a complex adaptive system to analyze the water use behavior of consumers and their influence on system-level sustainability. An agent-based model is constructed to simulate households as water-consumer agents and is coupled with a system dynamics simulation of a water reservoir to capture the feedbacks that drive the household-level adoption of rainwater harvesting. An evolutionary computation approach is coupled with the agent-based modeling framework to optimize multiple objectives and explore tradeoffs among energy requirements, water savings, and the cost of rainwater harvesting systems. The framework is demonstrated for a virtual case study to develop management strategies for sizing rainwater harvesting cisterns and achieving sustainability goals for a sociotechnical water supply system. © 2014 American Society of Civil Engineers.</t>
  </si>
  <si>
    <t>Adaptive systems; Autonomous agents; Commerce; Complex networks; Computational methods; Consumer behavior; Energy conservation; Harvesting; Multiobjective optimization; Rain; Reservoirs (water); Sustainable development; Water; Water conservation; Water resources; Water supply; Water supply systems; Waterworks; Agent based modeling frameworks; Centralized management; Complex adaptive systems; Drinking water systems; Rainwater harvesting system; System dynamics simulation; Urban water supply system; Water supply infrastructures; Potable water</t>
  </si>
  <si>
    <t>2-s2.0-84935428150</t>
  </si>
  <si>
    <t>ICT for Sustainability 2014, ICT4S 2014</t>
  </si>
  <si>
    <t>https://www.scopus.com/inward/record.uri?eid=2-s2.0-84928138181&amp;partnerID=40&amp;md5=96fe56c2fd1317a3c14023f3e56f949f</t>
  </si>
  <si>
    <t>The proceedings contain 49 papers. The topics discussed include: citizen observatories of water: social innovation via eparticipation; environmental assessment of emedia solutions: challenges experienced in case studies of alma media newspapers; power law of engagement: transferring disengaged householders into retrofitting energy savers; web for sustainability: tackling environmental complexity with scale; a practical model for evaluating the energy efficiency of software applications; a review of top-down models of internet network energy intensity; addressing the obsolescence of end-user devices: approaches from the field of sustainable HCI; agent-based analysis of annual energy usages for domestic heating based on a heat pump; big data GIS analytics towards efficient waste management in Stockholm; blinded by data: the risks of the implicit focus on data in ICT for sustainability; and characterization of the energy consumption of websites: impact of website implementation on resource consumption.</t>
  </si>
  <si>
    <t>2-s2.0-84928138181</t>
  </si>
  <si>
    <t>Varga L., Grubic T., Greening P., Varga S., Camci F., Dolan T.</t>
  </si>
  <si>
    <t>15081806200;35174505400;56124156100;55914573500;25721780500;8331316300;</t>
  </si>
  <si>
    <t>Characterizing conversion points and complex infrastructure systems: Creating a system representation for agent-based modeling</t>
  </si>
  <si>
    <t>Complexity</t>
  </si>
  <si>
    <t>19</t>
  </si>
  <si>
    <t>6</t>
  </si>
  <si>
    <t>10.1002/cplx.21521</t>
  </si>
  <si>
    <t>https://www.scopus.com/inward/record.uri?eid=2-s2.0-84904055018&amp;doi=10.1002%2fcplx.21521&amp;partnerID=40&amp;md5=97e6986b09268590f3c8fde76bfec4cc</t>
  </si>
  <si>
    <t>Infrastructure, which is used to extract, transport, store, and transform resources into products or services to meet our utility needs faces numerous challenges caused by the agency of the various actors in the system. To understand these challenges, we propose it is necessary to move beyond considering each utility system as a distinct silo. In this paper, a conversion points approach is developed to characterize multiutility systems at any scale and for any specific or theoretical location. The story is told of the development of a conversion points approach and its application is examined using an agent-based model. Transport, energy, water, waste, and telecommunications systems are governed and run independently but in practice are highly interdependent. A way to represent all utility systems in an integrated way is described and the benefits of this representation are applied to UK household consumers. © 2014 Wiley Periodicals, Inc.</t>
  </si>
  <si>
    <t>Agent-based model design; Complex system representation; Critical infrastructure; Interdependency; Utility conversion</t>
  </si>
  <si>
    <t>2-s2.0-84904055018</t>
  </si>
  <si>
    <t>Yuan X.-C., Wei Y.-M., Pan S.-Y., Jin J.-L.</t>
  </si>
  <si>
    <t>55438199300;13005705700;56181926100;55821195600;</t>
  </si>
  <si>
    <t>Urban Household Water Demand in Beijing by 2020: An Agent-Based Model</t>
  </si>
  <si>
    <t>Water Resources Management</t>
  </si>
  <si>
    <t>10.1007/s11269-014-0649-4</t>
  </si>
  <si>
    <t>https://www.scopus.com/inward/record.uri?eid=2-s2.0-84903576187&amp;doi=10.1007%2fs11269-014-0649-4&amp;partnerID=40&amp;md5=4b6cf430cc3d7ab26c289a0dac1e6950</t>
  </si>
  <si>
    <t>Beijing is faced with severe water scarcity due to rapid socio-economic development and population expansion, and a guideline for water regulation has been released to control the volume of national water use. To cope with water shortage and meet regulation goal, it has great significance to study the variations of water demand. In this paper, an agent-based model named HWDP is developed for the prediction of urban household water demand in Beijing. The model involves stochastic behaviors and feedbacks caused by two agent roles which are government agent and household agent. The government agent adopts economic and propagandist means to make household agent optimize its water consumption. Additionally, the consumption is also affected by the basic water demand deduced from extended linear expenditure system. The results indicate that the total water demand of urban households in Beijing will increase to 317.5 million cubic meters by 2020, while the water price keeps growing at a low level. However, it would drop to 294.9 million cubic meters with high growth of water price and low increment in per capita disposable income. Finally, some policy recommendations on water regulation are made. © 2014 Springer Science+Business Media Dordrecht.</t>
  </si>
  <si>
    <t>Agent; Extended linear expenditure system; Genetic algorithm; Water demand</t>
  </si>
  <si>
    <t>Agents; Computational methods; Genetic algorithms; Stochastic systems; Water supply; Agent-based model; Disposable income; Extended linear expenditure system; Policy recommendations; Population expansion; Socio-economic development; Stochastic behavior; Water demand; Stochastic models; genetic algorithm; policy making; prediction; regulatory approach; urban area; water demand; water management; water use; Beijing [Beijing (ADS)]; Beijing [China]; China</t>
  </si>
  <si>
    <t>2-s2.0-84903576187</t>
  </si>
  <si>
    <t>2013 International Conference on Advances in Intelligent Systems in Bioinformatics, Chem-Informatics, Business Intelligence, Social Media and Cybernetics, IntelSys 2013</t>
  </si>
  <si>
    <t>WIT Transactions on Information and Communication Technologies</t>
  </si>
  <si>
    <t>53</t>
  </si>
  <si>
    <t>https://www.scopus.com/inward/record.uri?eid=2-s2.0-84903463587&amp;partnerID=40&amp;md5=c39103d55ff855fcd5b870b05667ac33</t>
  </si>
  <si>
    <t>The proceedings contain 27 papers. The special focus in this conference is on Intelligent System for Quality of Life and Sustainable Development. The topics include: Improvement of visual stability by adjusting initial map of SOM and using hierarchical clustering; a statistical approach of identifying indexes crucial to characterizing Chinese yams in terms of shape; fusion technique for honey purity estimation using artificial neural network; an eigenfaces method on facial recognition; asymptotical synchronization of nonidentical duffing systems based on the relaxation oscillators; simulation for microbial depolymerization processes of polyethylene glycol; multilevel real-time business architecture and process simulation; turning decision strategy of dynamic path planning based on curve algorithm; psychological contract violation and its impact on job satisfaction level; modeling of the 3D-view geometry based motion detection system for determining trajectory and angle of the unguided fighter aircraft-rocket; detecting excessive residential water consumption using statistical process control and machine learning approaches; automated web service SLA negotiation using multiagent system; breast cancer diagnosis improvement using feature selection; a study of data randomization on a computer based feature selection for diagnosing coronary artery disease; application of ant colony optimization metaheuristic on job shop scheduling problem FT06 for minimization of makespan; the use of GIS technology for planning of GNSS measurement and designing the 3/5 biorthogonal wavelet using factor multiplication approach for extracting the iris image features.</t>
  </si>
  <si>
    <t>2-s2.0-84903463587</t>
  </si>
  <si>
    <t>Hung M.-F., Shaw D., Chie B.-T.</t>
  </si>
  <si>
    <t>7202454328;7403342415;6508236245;</t>
  </si>
  <si>
    <t>Water trading: Locational water rights, economic efficiency, and third-party effect</t>
  </si>
  <si>
    <t>10.3390/w6030723</t>
  </si>
  <si>
    <t>https://www.scopus.com/inward/record.uri?eid=2-s2.0-84899824964&amp;doi=10.3390%2fw6030723&amp;partnerID=40&amp;md5=010509e6624462862652af5f1e25509b</t>
  </si>
  <si>
    <t>Rivers flow downstream and unidirectionally. However, this fact has not yet been utilized in the institutional design for water trading. By utilizing this characteristic, we first designed a water trading system of "locational water rights." This new system is able to mitigate the return flow-related and instream flow-related third-party effects of volumetric reliability from water transfers. We provided mathematical proof of its economic efficiency. We then applied this water trading system to the case of the Choushui River basin in Taiwan. In this area, agriculture is highly developed while domestic and industrial water demands have increased rapidly. Using an agent-based model simulation, we estimated the potential economic benefits of implementing the system of locational water rights in the Choushui River basin. © 2014 by the authors.</t>
  </si>
  <si>
    <t>Economic efficiency; Locational water right; Return flows; Third-party effect; Water market</t>
  </si>
  <si>
    <t>International law; Watersheds; Economic efficiency; Return flow; Third-party effect; Water market; Water rights; Commerce; demand analysis; economic analysis; market system; mathematical analysis; river flow; trade flow; volume; water economics; Choushui Basin; Taiwan</t>
  </si>
  <si>
    <t>2-s2.0-84899824964</t>
  </si>
  <si>
    <t>Yang S., Qu H., Luan S., Kroeze C.</t>
  </si>
  <si>
    <t>54418383200;36765215100;15725722900;56269250000;</t>
  </si>
  <si>
    <t>Environmental implications of rural policies in China: a multi-agent model at the level of agricultural households</t>
  </si>
  <si>
    <t>Journal of Integrative Environmental Sciences</t>
  </si>
  <si>
    <t>10.1080/1943815X.2014.883413</t>
  </si>
  <si>
    <t>https://www.scopus.com/inward/record.uri?eid=2-s2.0-84898864586&amp;doi=10.1080%2f1943815X.2014.883413&amp;partnerID=40&amp;md5=be10a90d9c6e46d652010c35dfd07e9c</t>
  </si>
  <si>
    <t>We analyzed the socioeconomic and environmental changes in rural China from the perspective of agricultural households and developed a multi-agent agricultural household model for rural environmental management (MAREM). The MAREM model consists of four submodules: the agricultural household production module, the consumption module, the labor supply module, and the environmental assessment module. In the model, virtual agricultural households exist in a hypothetical village. Farmers follow a self-adaptive approach to learn and understand policy variations, in order to make relevant decisions. The model has been validated through simulation of actual trends (the based-on-reality scenario). On the basis of this scenario, we further analyzed possible future trends in rural environmental pollution in China. Our results reflect that China may enter a period of farmer income stagnation accompanied by a rapid deterioration in rural environmental quality. Ammonia emission from livestock production may become the primary agricultural source of air pollution, and eutrophication is calculated to be the major water pollution issue for the long term. Synthetic fertilizer application is projected to be the dominant source of total nitrogen (N) and phosphorus (P) in aquatic system (contributing to about 64% and 46% of the total discharge, respectively). Our study shows that MAREM is an effective tool to analyze the interactions between agricultural households' behavior and environmental consequences under specific policies in China. © 2014 Taylor &amp; Francis.</t>
  </si>
  <si>
    <t>agricultural household; decision-making; environmental management; multi-agent based model; rural policy</t>
  </si>
  <si>
    <t>2-s2.0-84898864586</t>
  </si>
  <si>
    <t>2013 2nd International Conference on Information Technology and Management Innovation, ICITMI 2013</t>
  </si>
  <si>
    <t>411-414</t>
  </si>
  <si>
    <t>https://www.scopus.com/inward/record.uri?eid=2-s2.0-84886442343&amp;partnerID=40&amp;md5=80bc203665aae4230e5c3626bd8def59</t>
  </si>
  <si>
    <t>The proceedings contain 642 papers. The special focus in this conference is on Information Processing and Information Security, Information Storage and Database System, Software Engineering, Computer Networks, Modern Technologies in Communication and Navigation, Multimedia Technology, Data and Signal Processing, Processing Image and Video, Applied and Computational Mathematics, Sensors, Detection Technology and Instrument, Automation, Control and Mechatronics and Artificial Intelligence and Optimization Algorithm. The topics include: Lattice-Based multi-signature schemes; implementation of RFID middleware based on hash chain; a novel RFID authentication protocol based on NTRU; roles generation for applications in RBAC model; a trust-aware access control policy for cloud data protection; information fusion based on improved D-S evidence theory; the design and realization of the single-block hash function for the short message; a secure cloud computing scaling model; multi-parameters predicting method of geo-pressure in carbonate formation; towards a computer-based information retrieval systems process; personalized web service recommendation based on user interest; towards capturing population-wide expertise via online professional social network systems; a low power design of sm4 cipher based on MUX S-box architecture; an impersonating-resilient key agreement scheme for wireless sensor networks; a review of scientific publishing platforms; an identity authentication scheme based on dynamic password technology; a model of LBS privacy protection based on collaboration; ontology-based semantic similarity measure with concept lattice; study on cloud computing clusters based on coordination method; the research on dynamics evolution patterns of online public opinion; EID system's privacy protection enhancement design; structured document model in digital community; improving frequent-term based text clustering with word belief network discussion based on document management system of chemical pump of Sinopec; computer aided organic synthesis based on graph grammars; effectiveness evaluation of information management system based on modified normal cloud model; exploring the reference management in parallel de-duplication; research focuses &amp; frontiers of information management; the research of network cluster behavior mode in online public opinion; prototype system of knowledge management based on data mining; network features measurement of social media; design and practice of campus ''one-map'' project based on GIS; research on knowledge diffusion in cluster innovation network based on social network theory; study on knowledge representation of temporal conceptual graph in the context; visualization analysis of research overview in the graphene field; corpus-based study on explicitation of personal pronouns in Chinese-English translation; a word sense disambiguation approach for English-Thai translation; comparison of Mel frequency ceptrum coefficient and perceptual linear predictive in perceptual measurement of Chinese initials; corpus-based study on the explicitation strategies in political text translation; the statistical analysis for the structure of modern Tibetan initials and finals; research on Tibetan language synthesis system front-end text processing technology based on HMM; research on words segmentation technology in Chinese full text retrieval system; statistical analysis for standard Chinese syllables and phoneme system; the analysis of typical algorithms based on k-anonymity; influencing factors of the villager satisfaction with village committee based on factor analysis: evidence from Shaanxi, china; a on-demand mapping method on query request in relational database semantic query; behavior-based data item correlation in the dataspace; a survey of scientific metadata schema; a survey of scientific metadata schema; a spatial database management system for Urban and Rural planning; a histogram based analytical approximate query processing for massive data; metadata update strategy with high reliability; an improved XOS Dealing with nested loop; metadata driven data mapper development; a microblog classification algorithm for real-time search; research on the evaluation system of software industry; research on the evaluation system of software industry; a verification method of software acceptability; semi-automatic generation model of elements in XBRL taxonomy; contrastive study of MT systems and CAT tools; meat pigeon production management information system; a view oriented approach to modeling web navigation; towards checking bigraphical context-aware models; detection of design patterns in software design model using graph; study on ASP-based anti-spam management system; application of high performance parallel computing based on GPU; research and design on an improved TOTP authentication; internet of things: security-based application level lookup protocol; energy-saving in optical data center networks; a novel secure inter-domain routing for identifier/locator split network; a research to Ad-hoc and wireless sensor network; design and implementation of buffer control in EoS system; the designs of interconnected optical ring networks; management system of computer laboratory in liberal college; a design on USSD session flow based on SMPP protocol; improving OFDM carrier frequency synchronization using cyclic prefix; study on technology of multi-hop relay in wireless communication networks; a high efficiency multi-band antenna for mobile communication devices; a software-based and dither-less modulators bias control technique; real-time communication method over switched Ethernet; Win CE and Zigbee wireless sensor network-based design; a fuzzy robust filtering method for transfer alignment; parameter measuring system based on stm32; user range error analysis of multiple satellite navigation system; a multi-core architecture for video streaming; a look at the effects of the web-based instruction; collaborative filtering algorithm based on user clustering; coal gangue interface recognition based on MFCC research; an optimized pruning-based outlier detecting algorithm; study on Hodgkin-Huxley neuron model under disturbance; research advances in the anti-tumor angiogenesis of flavonoids; new progress about apoptosis factors of tumor cell; research on enzymatic hydrolysis of whey protein; research progress on the anti-Leukemia effect of Lycorine; narciclasine - a potential anticancer drug; traditional Chinese medicine based on network pharmacology; systematic evaluation on horizontal well performance in bottom water reservoir; contemporaneous faulting and of sandbody control in PN oilfield; a solution of quick update apply for power grid topology; modal analysis of torque transmission gear system based on FEM; consider ordering strategy research on carbon emissions; study on kinematics simulation of parallel machine tool; research on subway air-conditioning system design; optimization of biomass vacuum pyrolysis process based on GRNN; the experiment research of high-pressure air blowing ballast tanks; performance analysis of heat pump cycle with an expander; influence of polymer on resistance method measuring saturation; research and design on library intelligent management and decorative materials; interactive job shop experiments system on education; function research on network teaching system for college English; application of university information service; research of application-oriented knowledge visualization method; the online examination system of distance education; mobile internet oriented m-learning system; research on operation simulative training in information age; e-teaching model and application in English teaching; modular technology education in physics for engineering managers; the research and practice of embedded teaching reform based on CDIO; on multimedia teaching of hydraulic transmission; on relationship between teacher autonomy and learner autonomy; the study on performance measurement of green supply chain management; research on freeway traffic safety index based on toll data; the application of ant colony optimization algorithm in the flight landing scheduling problem; investigation of the current situation of transport packaging in network; RFID virtual coordinate location routing algorithm; application analysis of internet of things in intelligent transportation; agent-based crowd evacuation modeling in buildings; a service evolution supporting smart meeting room system; residential property management electronic system design and implementation; optimization models of predicting the per capita income of urban residents; influence factors identification of the effective of human capital allocation on fuzzy DEMATE; the contribution of information technology to economic growth; engineering of Xinjiang non electricity area and the project risk assessment; the contribution of information technology to economic growth; research on measure method for reconfigurability; the research on correlation among Ei, OCB and performance; system dynamics analysis on social rescue resources supply; the study of raw milk quality control; research and design on hotel chain intelligent management system; the influence of training step on price forecasting based on support vector machine; solving MRCPSP by a hybrid genetic algorithm; exploring semi-autonomous structure for emergency logistics multi-agent system; a case study of AGV scheduling for production material handling; design of manufacturing execution system in tire enterprises; evaluation to power corporations' efficiency based on network SBM model; geological exploration management system construction; virtual demonstrating system of geoscience survey teaching.</t>
  </si>
  <si>
    <t>2-s2.0-84886442343</t>
  </si>
  <si>
    <t>2013 International Conference on Vehicle and Mechanical Engineering and Information Technology, VMEIT 2013</t>
  </si>
  <si>
    <t>380-384</t>
  </si>
  <si>
    <t>https://www.scopus.com/inward/record.uri?eid=2-s2.0-84885743159&amp;partnerID=40&amp;md5=61e7ab639d126a95ee5461f032e675e0</t>
  </si>
  <si>
    <t>The proceedings contain 1094 papers. The special focus in this conference is on Material Science, Manufacturing and Machining Technologies, Management and Economic Aspects in Enterprises. The topics include: Main drive vehicle of two-stage driving axle design; light bus drive axle design; research status and prospect on dynamics of tank automotive; the optimization for aircraft carrier main dimensions; performance analysis of the new helicopter-lift device; the calculation model and correction method of identifying deflexion of oil tank; influence for brake torque of hydraulic retarder with shape of circulation circle; prediction on vehicle crash acceleration based on circle of constant acceleration method; analysis of kinematics and throughput of the shotcrete machine; force analysis of petticoat valve of shotcrete machine based on fluent; acoustic parts in vehicle sound transmission loss test method research; the powertrain in vehicle sound power test method research; parametric design of grid plate type peanut picking machine; influence and analysis of temperature rise to principal spindle's rotating error test; modal analysis of linear guide way junction surface; study on the utilization of regenerative braking energy for high-speed railways; design of a new unlock mechanism for fuel tank catapult; frequency reliability analysis of diamond circular saw blade; the parametric design for hydraulic cylinder based on solidworks; statics and modal analysis for large vibrating screen; analysis and simulation on automobile airbag compression test; high-voltage converter technology applied in coal mining ventilator; design and kinematic analysis of reciprocating cutters; a hole-punching system for the pot-seedling hole-punching machine; finite element analysis for assembly fixtures based on ANSYS; electric scissor aerial work platform solenoid valve research; in the wind tunnel simulation defroster control study; brake distance calculation of CRH; research on optimization of water jet propulsion; mathematical modeling and robust control for beam reheating furnace; application of LED light source in the flow imaging; modeling and simulation of turning characteristic of batoid; the analysis of traffic flow model; a real-time traffic lights scheduling strategy; the study of control strategy of multi-microgrid based on AC bus; research and implementation of electric control system; the design of computer integrated control system for electron beam welder; a novel control strategy of PWM rectifier; control and simulation of spacecraft's attitude control based on quaternions; the design for tension control system of FOG coil winding; the design and control of the humanoid walking robot; design of control system of construction elevator based on PLC; simulation and analysis of impact factor on fuzzy PID controller; a system of computer optimization control for catalytic cracking; the application of neural network in computer control; research and analysis about static synchronous compensator control; fuzzy adaptive control of a Chinese medicine sugar precipitation process; study on control scheme of reheating furnace of steel rolling optimization; control system of smart home based on cloud monitoring system; fast collision detection and deformation of soft tissue in virtual surgery; real-time bus video monitoring system based on 3G network; design of general agricultural wireless monitoring system based on zigbee; the application of PSD in vibration measurment; development of online oil control valve detection system; the parameters measurement of the network performance; the method for real-time length measurement of fiber winding; development of the real-time measuring system based on video image; monitoring system of gate control TWT radar transmitter; fault diagnosis of aircraft engine based on order analysis; operating system for the dynamic belt measurement; fault diagnosis technology of equipment system; analysis of over-voltage failure in the computer room; research and design of wireless video monitoring; research on a quantitative packing weighing system of sticky foods; evaluation of visual fatigue caused by 3D display; a fiber-optic velocimeter using heterodyne technique; on-demand routing algorithm base on energy balancing in MANET; simulating liquid dynamics by a particle-based method; the principle and implementation of novel FRC algorithm; an improved iris localization algorithm based on curve fitting; an ELM based barcode localization algorithm; a novel disruption operator in particle swarm optimization; research on clustering algorithm for wireless sensor networks; efficient bounded model checking for LTL; analysis on children custody decision making model; research on performance evaluation based on fuzzy analysis; ontology-based K-means clustering algorithm analysis; multi-response linear polynomial regression models designs; the role of modelling in agile methodologies; an environmental personalized tag recommendation model; GMDH network model based on simulated annealing and genetic algorithm; agent-based simulation method of complex system; ontology-based CRM for bank customers; a two factor authentication algorithm for medical registration platform; a kind of method to parallelize AC algorithm; on the positive definite solutions of a nonlinear matrix equation; an improved niche genetic algorithm; improved genetic algorithms for software testing cases generation; fast block matching algorithm for ray space data compression; study on an algorithm for SAR raw data compression; Ml-KNN algorithm based on frequent item sets; an improved particle swarm optimization; a Ga algorithm based on niche and discrete; parallel route optimization algorithm of central guidance; an improved algorithm based on AC-BM algorithm; simulation on 3D computer dynamic cloth simulation process; extended probabilistic data association algorithm; the model of fuzzy retrieval based on external index; an improved dijkstras algorithm based on search strategy; application of wavelet algorithm in spectral analysis; decomposition of reflexive differential-difference polynomial systems; association rules mining algorithm based on linked list; test and analysis GPU-accelerated in molecular dynamics simulation; a potential field model avoiding local minimum in pedestrian simulation; a new prediction method for chaotic time series; a multi-point source thermal radiation model of pool fire; a clustering method based on K-means algorithm; model of a traffic circle; bubbling sort algorithm application based on C programming language; proactive reliability analysis for electric vehicles; the research on the embedded vehicle dynamics simulation method; research on voyage path methods in medical visualization; point cloud segmentation based on moving probability; enlarge the field of view of nano CT in synchrotron radiation; 3D reconstruction and analysis base on shape matching; a new q-learning based spectrum access strategy; running OpenFOAM in high performance computer; a microblog classification scheme based on partial indexing; research of the association rules based on elderly people.</t>
  </si>
  <si>
    <t>2-s2.0-84885743159</t>
  </si>
  <si>
    <t>Giacomoni M.H., Kanta L., Zechman E.M.</t>
  </si>
  <si>
    <t>35114687100;35098741000;6506331398;</t>
  </si>
  <si>
    <t>Complex adaptive systems approach to simulate the sustainability of water resources and urbanization</t>
  </si>
  <si>
    <t>139</t>
  </si>
  <si>
    <t>10.1061/(ASCE)WR.1943-5452.0000302</t>
  </si>
  <si>
    <t>https://www.scopus.com/inward/record.uri?eid=2-s2.0-84883416249&amp;doi=10.1061%2f%28ASCE%29WR.1943-5452.0000302&amp;partnerID=40&amp;md5=5d3dacd9260350cfc28849ccbb6c9965</t>
  </si>
  <si>
    <t>Urban water resources should be managed to meet conflicting demands for environmental health, economic prosperity, and social equity for present and future generations. While the sustainability of water resources can depend on dynamic interactions among natural, social, and infrastructure systems, typical water resource planning and management approaches are based on methodologies that ignore feedbacks and adaptations among these systems. This research develops and demonstrates a new complex adaptive systems approach to model the dynamic interactions among population growth, land-use change, the hydrologic cycle, residential water use, and interbasin transfers. Agent-based and cellular automaton models, representing consumers and policymakers who make land- and water-use decisions, are coupled with hydrologic models. The framework is applied for an illustrative case study to simulate urbanization and the water supply system over a long-term planning horizon. Results indicate that interactions among the decentralized decisions of individual residents can significantly influence system-wide sustainability. Adaptive management policies are included to restrict the water use and land use of consumers as the availability of water decreases. These strategies are simulated and assessed based on their abilities to increase the sustainability of the water supply system under the stresses of population growth, land-use change, and drought. © 2013 American Society of Civil Engineers.</t>
  </si>
  <si>
    <t>Adaptive management; Complex adaptive systems; Multiscale modeling; Sociotechnical system; Urbanization; Water resources sustainability</t>
  </si>
  <si>
    <t>Adaptive Management; Complex adaptive systems; Multi-scale Modeling; Sociotechnical systems; Urbanization; Adaptive systems; Cellular automata; Economic and social effects; Population statistics; Sustainable development; Water supply; Water supply systems; Water resources; adaptive management; cellular automaton; hydrological cycle; land use change; numerical model; policy approach; population growth; resource management; sustainability; urbanization; water planning; water resource; water supply; water use</t>
  </si>
  <si>
    <t>2-s2.0-84883416249</t>
  </si>
  <si>
    <t>Musgrove R.</t>
  </si>
  <si>
    <t>55925847100;</t>
  </si>
  <si>
    <t>An end-use integrated agent-based model to simulate consumer demand for a water utility</t>
  </si>
  <si>
    <t>World Environmental and Water Resources Congress 2013: Showcasing the Future - Proceedings of the 2013 Congress</t>
  </si>
  <si>
    <t>10.1061/9780784412947.253</t>
  </si>
  <si>
    <t>https://www.scopus.com/inward/record.uri?eid=2-s2.0-84887483417&amp;doi=10.1061%2f9780784412947.253&amp;partnerID=40&amp;md5=3574e7586b80437333ba4c3adecacaaa</t>
  </si>
  <si>
    <t>Accurately estimating residential water use is becoming an increasingly important issue to the water utilities due to limited supply, increased demand caused by a growing population and urbanization, and seasonal variation of global climatic conditions. Most existing demand estimation methods are deterministic or stochastic. Deterministic methods are based on end-use models, which evaluate household water use at the appliance level. Stochastic models predict water use using empirical relationships based on predictors such as population size, water pricing, rainfall, and daily maximum temperature. However, consumer demand varies due to factors such as water pricing, demographics, weather, technology, consumer habits, and local conservation and restriction programs, which have not been combined in any single application before. In this research a new modeling approach is developed for estimating residential monthly water use by integrating a deterministic end-use model within an agent-based modeling framework to model the combined effect of all demand variables. Heterogeneity in consumer behavior is incorporated through appliance type and lot size information; stochasticity in demand is included through climate data and population growth. The proposed model is applied to a Texas utility, and analysis of the results shows that the proposed method could simulate residential demand with reasonable accuracy. This approach can be a useful demand management tool for water utilities. © 2013 American Society of Civil Engineers.</t>
  </si>
  <si>
    <t>Application programs; Autonomous agents; Computational methods; Consumer behavior; Costs; Housing; Population statistics; Simulation platform; Stochastic models; Stochastic systems; Water supply; Agent based modeling frameworks; Climatic conditions; Deterministic methods; Empirical relationships; Local conservation; Maximum temperature; Reasonable accuracy; Seasonal variation; Water resources</t>
  </si>
  <si>
    <t>2-s2.0-84887483417</t>
  </si>
  <si>
    <t>Kandiah V.K., Zechman E.M., Binder A.R.</t>
  </si>
  <si>
    <t>55355710500;6506331398;26533935700;</t>
  </si>
  <si>
    <t>An agent-based modeling approach to simulate the influence of consumer behavior on infrastructure performance for urban water reclamation management</t>
  </si>
  <si>
    <t>10.1061/9780784412947.226</t>
  </si>
  <si>
    <t>https://www.scopus.com/inward/record.uri?eid=2-s2.0-84887474059&amp;doi=10.1061%2f9780784412947.226&amp;partnerID=40&amp;md5=f1794f31985ce389834e82bad7ba36c3</t>
  </si>
  <si>
    <t>Water reuse introduces new interconnections among urban water infrastructure services. For both decentralized and centralized systems, water recycling influences the burden on the stormwater, wastewater, and drinking water systems. Reductions in drinking water demands, caused by an uptake in water reuse, can cause changes in system pressures and new hydraulic conditions in the network. The proposed research will explore the interconnections among urban water infrastructure for water reuse strategies and develop a new agent-based modeling framework to simulate the interactions among consumer behaviors, water reuse technologies, and existing water supply infrastructure. An agent-based model of consumers will be coupled with water infrastructure systems models, and both the water distribution system and water reclamation system infrastructure will be simulated using EPANET. Each agent, representing a household, will be associated with a node in the drinking water system where its demand is exerted. As agents adopt reclaimed water, demand inputs to the drinking water model and reclamation system model are updated accordingly. The framework will be used to simulate the emergence of the adoption of water reclamation and infrastructure performance based on metrics, including extreme pressures, changes in flows, and utilization of existing capacity. © 2013 American Society of Civil Engineers.</t>
  </si>
  <si>
    <t>agent-based modeling; consumer behavior; urban water infrastructure; water reuse</t>
  </si>
  <si>
    <t>Autonomous agents; Computational methods; Consumer behavior; Potable water; Simulation platform; Wastewater reclamation; Water distribution systems; Water recycling; Water resources; Water supply; Agent based modeling frameworks; Agent-based model; Drinking water systems; Urban waters; Water infrastructure; Water reuse; Water reuse technologies; Water supply infrastructures; Water conservation</t>
  </si>
  <si>
    <t>2-s2.0-84887474059</t>
  </si>
  <si>
    <t>Cockburn D., Crabtree S.A., Kobti Z., Kohler T.A., Bocinsky R.K.</t>
  </si>
  <si>
    <t>25640520100;54931483000;6508054194;8049381100;54929809300;</t>
  </si>
  <si>
    <t>Simulating social and economic specialization in small-scale agricultural societies</t>
  </si>
  <si>
    <t>10.18564/jasss.2308</t>
  </si>
  <si>
    <t>https://www.scopus.com/inward/record.uri?eid=2-s2.0-84887012308&amp;doi=10.18564%2fjasss.2308&amp;partnerID=40&amp;md5=a370212b370627f332faa410753e4a48</t>
  </si>
  <si>
    <t>We introduce a model for agent specialization in small-scale human societies that incorporates planning based on social influence and economic state. Agents allocate their time among available tasks based on exchange, demand, competition from other agents, family needs, and previous experiences. Agents exchange and request goods using barter, balanced reciprocal exchange, and generalized reciprocal exchange. We use a weight-based reinforcement model for the allocation of resources among tasks. The Village Ecodynamics Project (VEP) area acts as our case study, and the work reported here extends previous versions of the VEP agent-based model ("Village"). This model simulates settlement and subsistence practices in Pueblo societies of the central Mesa Verde region between A.D. 600 and 1300. In the base model on which we build here, agents represent households seeking to minimize their caloric costs for obtaining enough calories, protein, fuel, and water from a landscape which is always changing due to both exogenous factors (climate) and human resource use. Compared to the baseline condition of no specialization, specialization in conjunction with barter increases population wealth, global population size, and degree of aggregation. Differences between scenarios for specialization in which agents use only a weight-based model for time allocation among tasks, and one in which they also consider social influence, are more subtle. The networks generated by barter in the latter scenario exhibit higher clustering coefficients, suggesting that social influence allows a few agents to assume particularly influential roles in the global exchange network.</t>
  </si>
  <si>
    <t>Agent-based modeling; Archaeology; Barter; Models of social influence; Social networks; Specialization</t>
  </si>
  <si>
    <t>2-s2.0-84887012308</t>
  </si>
  <si>
    <t>Linkola L., Andrews C.J., Schuetze T.</t>
  </si>
  <si>
    <t>55877515500;7201809349;46461851800;</t>
  </si>
  <si>
    <t>An agent based model of household water use</t>
  </si>
  <si>
    <t>10.3390/w5031082</t>
  </si>
  <si>
    <t>https://www.scopus.com/inward/record.uri?eid=2-s2.0-84885335380&amp;doi=10.3390%2fw5031082&amp;partnerID=40&amp;md5=fa27f387c6284fc267d7a9f54d2652ef</t>
  </si>
  <si>
    <t>Households consume a significant fraction of total potable water production. Strategies to improve the efficiency of water use tend to emphasize technological interventions to reduce or shift water demand. Behavioral water use reduction strategies can also play an important role, but a flexible framework for exploring the "what-ifs" has not been available. This paper introduces such a framework, presenting an agent-based model of household water-consuming behavior. The model simulates hourly water-using activities of household members within a rich technological and behavioral context, calibrated with appropriate data. Illustrative experiments compare the resulting water usage of U.S. and Dutch households and their associated water-using technologies, different household types (singles, families with children, and retired couples), different water metering regimes, and educational campaigns. All else equal, Dutch and metered households use less water. Retired households use more water because they are more often at home. Water-saving educational campaigns are effective for the part of the population that is receptive. Important interactions among these factors, both technological and behavioral, highlight the value of this framework for integrated analysis of the human-technology-water system. © 2013 by the authors.</t>
  </si>
  <si>
    <t>Agent based modeling; Behavioral factors; Buildings; Residential water use</t>
  </si>
  <si>
    <t>Buildings; Computational methods; Consumer behavior; Water conservation; Water supply; Agent-based model; Behavioral factors; Educational campaigns; Flexible framework; Household members; Integrated analysis; Water use; Water use reductions; Potable water; education policy; household survey; numerical model; simulation; water demand; water use; Netherlands; United States</t>
  </si>
  <si>
    <t>2-s2.0-84885335380</t>
  </si>
  <si>
    <t>Hung M.-F., Chie B.-T.</t>
  </si>
  <si>
    <t>7202454328;6508236245;</t>
  </si>
  <si>
    <t>Residential Water Use: Efficiency, Affordability, and Price Elasticity</t>
  </si>
  <si>
    <t>27</t>
  </si>
  <si>
    <t>10.1007/s11269-012-0185-z</t>
  </si>
  <si>
    <t>https://www.scopus.com/inward/record.uri?eid=2-s2.0-84871432350&amp;doi=10.1007%2fs11269-012-0185-z&amp;partnerID=40&amp;md5=5320eff03a7152156ea6d684d3df9ceb</t>
  </si>
  <si>
    <t>In practice, water pricing is the main economic instrument used to discourage the wasteful use of residential water. Owing to considerations of affordability, residential water is systematically underpriced because water is essential for life. Such a low price results in water being used inefficiently. This paper proposes a system that supplements the existing price system with a cap-and-trade measure to reconcile conflicts among the goals of residential water use. It forces all people (independent of income) to be faced with reasonable price signals and to use water efficiently. The poor could, however, gain from trade and afford water. By taking advantage of the agent-based model, a simulation of this system applied to Taipei, Taiwan shows that those with lower income per capita are better off under this system even though the equilibrium price of residential water is higher. The simulated average price elasticity of market demand is -0. 449. © 2012 Springer Science+Business Media Dordrecht.</t>
  </si>
  <si>
    <t>Affordability; Agent-based model; Cap and trade; Efficiency; Price elasticity; Residential water; Water pricing</t>
  </si>
  <si>
    <t>Autonomous agents; Commerce; Computational methods; Costs; Efficiency; Elasticity; Emission control; Simulation platform; Affordability; Agent-based model; Cap and trade; Price elasticity; Water pricing; Housing; demand elasticity; price dynamics; water demand; water economics; water supply; water use efficiency; Taipei; Taiwan</t>
  </si>
  <si>
    <t>2-s2.0-84871432350</t>
  </si>
  <si>
    <t>Kandiah V.K., Zechman E.M.</t>
  </si>
  <si>
    <t>55355710500;6506331398;</t>
  </si>
  <si>
    <t>Agent-based modeling for simulating the decentralization of urban water infrastructure systems</t>
  </si>
  <si>
    <t>World Environmental and Water Resources Congress 2012: Crossing Boundaries, Proceedings of the 2012 Congress</t>
  </si>
  <si>
    <t>10.1061/9780784412312.223</t>
  </si>
  <si>
    <t>https://www.scopus.com/inward/record.uri?eid=2-s2.0-84866058538&amp;doi=10.1061%2f9780784412312.223&amp;partnerID=40&amp;md5=522bdf6432c2bac1e7ab8d0dc68adb7f</t>
  </si>
  <si>
    <t>Urban water infrastructure systems, including drinking water, wastewater, and stormwater, should be designed to efficiently use water and energy resources. Current design paradigms typically neglect the interconnection among these systems; water, wastewater, and stormwater are treated at centralized facilities, and water services are distributed within a municipality through pipe networks. Due to water shortages and limited budgets, water utilities may encourage individual households to adopt water reuse, water conservation, and lot-level stormwater treatment technologies, which may produce a decentralized water service system. Transitioning from a centralized to a decentralized approach within urban water infrastructure systems will change demands and affect the performance of the existing infrastructure and the use of energy and water resources. To enable exploration of the impacts of decentralization on the sustainability and resilience of urban water infrastructure systems, a Complex Adaptive Systems (CAS) approach is developed here. This modeling framework characterizes the various feedback loops, dynamic interactions, and emergent phenomena that result from the interactions of decentralized and centralized components of the water infrastructure systems. Specifically, rainwater harvesting is explored as a decentralization technology, which reduces stormwater service demands and drinking water demands on the centralized infrastructure systems. An agent-based modeling approach is used to simulate technology adoption of individual consumers in response to water shortages and is coupled with water and energy utilization models. The framework provides insight to the interconnections and interactions between the consumers, water supply and delivery system and the effect of these interactions on water and energy use and sustainability; infrastructure system design; and system resilience, as a system transitions from a centralized to a decentralized layout. © 2012 ASCE.</t>
  </si>
  <si>
    <t>Agent based modeling; Complex adaptive systems; Decentralization; Sustainability; Urban water infrastructure systems</t>
  </si>
  <si>
    <t>Agent-based modeling; Centralized components; Complex adaptive systems; Decentralization; Decentralized approach; Design paradigm; Dynamic interaction; Emergent phenomenon; Feed-back loop; Infrastructure systems; Modeling frameworks; Pipe networks; Rain water harvesting; Service demand; Stormwater treatment; Stormwaters; Supply and delivery; System transitions; Technology adoption; Urban water infrastructure systems; Water and energies; Water infrastructure; Water reuse; Water service; Water shortages; Water utility; Adaptive systems; Computational methods; Energy resources; Energy utilization; Storms; Sustainable development; Wastewater reclamation; Wastewater treatment; Water conservation; Water supply; Water resources</t>
  </si>
  <si>
    <t>2-s2.0-84866058538</t>
  </si>
  <si>
    <t>Chingcuanco F., Miller E.J.</t>
  </si>
  <si>
    <t>54792712500;7404491321;</t>
  </si>
  <si>
    <t>A microsimulation model of urban energy use: Modelling residential space heating demand in ILUTE</t>
  </si>
  <si>
    <t>Computers, Environment and Urban Systems</t>
  </si>
  <si>
    <t>36</t>
  </si>
  <si>
    <t>10.1016/j.compenvurbsys.2011.11.005</t>
  </si>
  <si>
    <t>https://www.scopus.com/inward/record.uri?eid=2-s2.0-84858080249&amp;doi=10.1016%2fj.compenvurbsys.2011.11.005&amp;partnerID=40&amp;md5=1211f185c6565f8fee40530df6c141c3</t>
  </si>
  <si>
    <t>Rapid urbanization, climate change and energy security warrant a more detailed understanding of how cities today consume energy. Agent-based, integrated microsimulation models of urban systems provide an excellent platform to accomplish this task, as they can capture both the short- and long-term decisions of firms and households which directly affect urban energy consumption. This paper presents the current effort towards developing an urban energy model for the Integrated Land Use, Transportation, Environment (ILUTE) modelling system.As a first step, a model for the residential space heating system evolution of the Greater Toronto-Hamilton Area was developed. A bottom-up approach, where individual uses are aggregated, was then employed to estimate the region's space heating demand. Conventional bottom-up methodologies often suffer from insensitivity to either technological or behavioral factors. It is argued that coupling a discrete choice model with building energy simulation software solves this problem. A joint logit model of heating fuel and equipment choice was developed and estimated using Toronto household microdata. The HOT2000 software was then used to compute individual dwelling unit space heating use. The entire residential energy analysis was performed in tandem with the housing market and demographic evolution processes. This allows the endogenous formation of the required inputs as well as adherence to the core ILUTE framework of integrated modelling.This residential space heating model is a first step towards a comprehensive urban energy end-use model. Further steps include developing similar models for other residential end-uses, such electricity and hot water consumption, as well as extensions to the commercial and transportation sectors. The entire effort aims to introduce an alternate methodology to modelling urban energy consumption that takes advantage of agent-based microsimulation to enhance and address issues with current approaches. © 2011 Elsevier Ltd.</t>
  </si>
  <si>
    <t>Agent-based modelling; ILUTE; Integrated urban models; Microsimulation; Residential energy; Urban energy</t>
  </si>
  <si>
    <t>Agent-based modelling; ILUTE; Integrated urban models; Microsimulation; Residential energy; Urban energy; Climate change; Computer software; Energy utilization; Housing; Integration; Mathematical models; Space heating; Urban transportation; bottom-up approach; discrete choice analysis; heating; household energy; land use; modeling; residential energy; urban system; urban transport; Canada; Hamilton [Ontario]; Ontario [Canada]; Toronto</t>
  </si>
  <si>
    <t>2-s2.0-84858080249</t>
  </si>
  <si>
    <t>Ma Y., Shen Z., Kawakami M., Suzuki K., Long Y.</t>
  </si>
  <si>
    <t>56127944200;55219953800;35091225600;55503711800;35756162500;</t>
  </si>
  <si>
    <t>An agent-based approach to support decision-making of total amount control for household water consumption</t>
  </si>
  <si>
    <t>Advances in Geographic Information Science</t>
  </si>
  <si>
    <t>9783642135583</t>
  </si>
  <si>
    <t>10.1007/978-3-642-13559-0_6</t>
  </si>
  <si>
    <t>https://www.scopus.com/inward/record.uri?eid=2-s2.0-85040367640&amp;doi=10.1007%2f978-3-642-13559-0_6&amp;partnerID=40&amp;md5=cc307215dae9cbdbbf0713e95f0f0153</t>
  </si>
  <si>
    <t>In this chapter, we present an agent-based model of household water consumption simulation (HWCSim) for the visualization of policy effectiveness of total amount control for household water consumption and as a guide for sustainable water resource management. Within this model the volume of household water consumption is regulated through a negotiation process regarding water price adjustment between household and government. Water consumption in an urban area is examined as a closed local water market, and a water price negotiation process between the supply side and the demand side is simulated. This process reflects how the supply side (government) and the demand side (households) reach a consensus on water price. © 2012, Springer-Verlag Berlin Heidelberg.</t>
  </si>
  <si>
    <t>Income; Sewage</t>
  </si>
  <si>
    <t>Autonomous agents; Computational methods; Costs; Sewage; Water conservation; Water management; Water resources; Agent-based approach; Agent-based model; Household water; Income; Negotiation process; Sustainable water resources; Total amount controls; Water consumption; Decision making</t>
  </si>
  <si>
    <t>2-s2.0-85040367640</t>
  </si>
  <si>
    <t>Widergren S., Subbarao K., Chassin D., Fuller J., Pratt R.</t>
  </si>
  <si>
    <t>6602383696;7102213190;6602822691;36650696100;24756523600;</t>
  </si>
  <si>
    <t>Residential real-time price response simulation</t>
  </si>
  <si>
    <t>6038964</t>
  </si>
  <si>
    <t>10.1109/PES.2011.6038964</t>
  </si>
  <si>
    <t>https://www.scopus.com/inward/record.uri?eid=2-s2.0-82855163903&amp;doi=10.1109%2fPES.2011.6038964&amp;partnerID=40&amp;md5=c39f9c219c6fdedc288d2215057c15ec</t>
  </si>
  <si>
    <t>The electric industry is gaining experience with innovative price responsive demand pilots and limited roll-outs to customers. One of these pilots is investigating real-time pricing signals to engage end-use systems and local distributed generation and storage in a distributed optimization process. Attractive aspects about the approach include strong scalability characteristics, simplified interfaces between automation devices, and the adaptability to integrate a wide variety of devices and systems. Experience in this nascent field is revealing a rich array of engineering decisions to consider along with the application of complexity theory. To test the decisions, computer simulations are used to reveal insights about design, demand elasticity, and the limits of response (including consumer fatigue). Agent-based approaches lend themselves well in the simulation to modeling the participation and interaction of each piece of equipment on a distribution feeder. This paper discusses rate design and simulation experiences at the distribution feeder level where consumers and their HVAC systems and water heaters on a feeder receive real-time pricing signals. © 2011 IEEE.</t>
  </si>
  <si>
    <t>agent-based system; market simulation; power system modeling; power system simulation</t>
  </si>
  <si>
    <t>Agent-based approach; Agent-based systems; Automation devices; Complexity theory; Demand elasticities; Design and simulation; Devices and systems; Distributed generation and storage; Distributed optimization; Distribution feeders; End-uses; Engineering decisions; HVAC system; Market simulation; Nascent field; Power system modeling; Power system simulations; Price responsive demand; Real time pricing; Real-time price; Roll-outs; Climate control; Computer simulation; Costs; Current limiting reactors; Distributed power generation; Elasticity; Electric industry; Electric utilities; Feeding; Power transmission; Water heaters; Real time systems</t>
  </si>
  <si>
    <t>2-s2.0-82855163903</t>
  </si>
  <si>
    <t>Kamphuis R., Roossien B., Bliek F., van de Noort A., van de Velden J., de Wit J., Eijgelaar M.</t>
  </si>
  <si>
    <t>15925367900;24725347700;36130855800;55890890200;55890796400;36699378400;36699509800;</t>
  </si>
  <si>
    <t>Market optimization of a cluster of DG-RES, micro-CHP, heat pumps and energy storage within network constraints: The powermatching city field test</t>
  </si>
  <si>
    <t>Lecture Notes of the Institute for Computer Sciences, Social-Informatics and Telecommunications Engineering, LNICST</t>
  </si>
  <si>
    <t>54</t>
  </si>
  <si>
    <t>10.1007/978-3-642-19322-4_22</t>
  </si>
  <si>
    <t>https://www.scopus.com/inward/record.uri?eid=2-s2.0-84885885749&amp;doi=10.1007%2f978-3-642-19322-4_22&amp;partnerID=40&amp;md5=fbec9e2a0bd98de4c01e5fcf8ff9974b</t>
  </si>
  <si>
    <t>The share of renewable energy resources for electricity production, in a distributed setting (DG-RES), increases. The amount of energy transported via the electricity grid by substitution of fossil fuels for mobility applications (electric vehicles) and domestic heating (heat pumps) increases as well. Apart from the volume of electricity also the simultaneity factor increases at all grid levels. This poses unprecedented challenges to capacity management of the electricity infrastructure. A solution for tackling this challenge is using more active distribution networks, intelligent coordination of supply and demand using ICT and using the gas distribution network to mitigate electricity distribution bottlenecks. In the EU FP6 Energy Program Integral1 project, a large scale heterogeneous field test has been designed for application of the software agent based PowerMatcher technology. The test is conducted in a suburb of Groningen, Hoogkerk, and entails approximately 30 homes with either a 'dual fuel' heating system (electrical heat pump with gas-fired peak-burners) or a micro-CHP. Homes also may have PV. Furthermore, a wind production facility and nodes with electricity chargers for EVs and electricity storage are part of the Virtual Power Plant cluster, constructed in this way. Domestic heating systems have intrinsic operational flexibility in comfort management through the thermal mass of the dwellings. Furthermore, the field test comfort systems are equipped with possibilities for hot water storage for central heating as well as for tap-water. Finally, having additional gas-fired heating capacity for electrical heat-pumps adds to increasing flexibility by switching the energy source dependent on the status of the electricity grid. Purpose of the field test is using this flexibility to react to phenomena in the electricity system. From a commercial perspective, the aggregated cluster reacts on small-time scale events like real-time portfolio imbalance, compensation of ramp-up and ramp-down induced phenomena of large generators and compensating for variable output of renewables like PV and Wind. Aim for the latter is to reduce the margin between realization and forecast of a portfolio containing these resources. From a distribution perspective, the total load on the transformer is monitored and coordination also involves diminishing this load during peak periods to improve the utilization of grid components and increase their lifetime. An extensive socio-economic study is performed on user perception of the control of these new types of installations. In this paper, the component configuration and set-up of the field-test and the architecture of the ICT-network for coordination are discussed. The test has commenced in December 2009. © Institute for Computer Sciences, Social Informatics and Telecommunications Engineering 2011.</t>
  </si>
  <si>
    <t>Active distribution networks; Commercial perspectives; Component configurations; Domestic heating systems; Electricity distribution; Electricity infrastructure; Gas distribution network; Operational flexibility; Application programs; Economics; Electric energy storage; Electric heating; Electric utilities; Electricity; Energy efficiency; Heat pump systems; Heating equipment; Information technology; Power generation; Ramp generators; Renewable energy resources; Software testing</t>
  </si>
  <si>
    <t>2-s2.0-84885885749</t>
  </si>
  <si>
    <t>Shafiee M.E., Zechman E.M.</t>
  </si>
  <si>
    <t>36188902500;6506331398;</t>
  </si>
  <si>
    <t>Sociotechnical simulation and evolutionary algorithm optimization for routing siren vehicles in a water distribution contamination event</t>
  </si>
  <si>
    <t>Genetic and Evolutionary Computation Conference, GECCO'11 - Companion Publication</t>
  </si>
  <si>
    <t>10.1145/2001858.2002046</t>
  </si>
  <si>
    <t>https://www.scopus.com/inward/record.uri?eid=2-s2.0-80051951886&amp;doi=10.1145%2f2001858.2002046&amp;partnerID=40&amp;md5=e90b53ebed0ac926b631bd23fc107647</t>
  </si>
  <si>
    <t>Water distribution contamination incidents occur when a poisonous chemical or pathogen is introduced intentionally or accidentally to the pipe network that delivers potable water to the residents of a municipality. These events pose a challenge to decision makers, who should quickly identify a threat and the most effective response actions for protection of public health. In these events, the dynamic interactions among consumers, utility managers, public health officials, and the water distribution pipe network affect the emergent exposure of consumers. An Agent-Based Modeling (ABM) approach is used to simulate the interactions among agents and flow conditions in the water distribution system to provide an understanding of effects of dynamic and adaptive behaviors on public health. While utility operators can protect consumers using a wide range of protective and mitigative responses, routing of siren vehicles can be effective as consumers are warned about a contaminant in the water system and respond by stopping different water activities, such as drinking water. Development of crisis management routing strategies, which are a set of routes to best warn and protect consumers from exposure, is enabled through a new simulation-optimization framework. A genetic algorithm and the ABM are coupled to find routes for siren vehicles that minimize the number of consumers who are exposed to contaminated tap water. The framework is demonstrated for an illustrative case study, a mid-sized virtual city, to identify efficient routes for protecting public health. © 2011 ACM.</t>
  </si>
  <si>
    <t>agent-based modeling; optimization; threat management; water distribution contamination</t>
  </si>
  <si>
    <t>Adaptive behavior; Agent-based modeling; Crisis management; Decision makers; Dynamic interaction; Flow condition; Pipe networks; Public health; Routing strategies; Simulation optimization; Sociotechnical; Tap water; Threat management; Utility managers; Virtual cities; Water activity; water distribution contamination; Water distribution pipes; Water distributions; Water system; Computational methods; Computer simulation; Contamination; Evolutionary algorithms; Health; Health risks; Mathematical models; Mathematical operators; Optimization; Pipe; Signaling; Sirens; Water supply systems; Potable water</t>
  </si>
  <si>
    <t>2-s2.0-80051951886</t>
  </si>
  <si>
    <t>Kanta L., Zechman E.M.</t>
  </si>
  <si>
    <t>35098741000;6506331398;</t>
  </si>
  <si>
    <t>A complex adaptive systems approach to develop basin-scale optimal management strategies for water resources systems</t>
  </si>
  <si>
    <t>World Environmental and Water Resources Congress 2011: Bearing Knowledge for Sustainability - Proceedings of the 2011 World Environmental and Water Resources Congress</t>
  </si>
  <si>
    <t>10.1061/41173(414)296</t>
  </si>
  <si>
    <t>https://www.scopus.com/inward/record.uri?eid=2-s2.0-79960411215&amp;doi=10.1061%2f41173%28414%29296&amp;partnerID=40&amp;md5=637508ed58b57401d1f936817aed0029</t>
  </si>
  <si>
    <t>Sustainable basin-scale management of water resources is challenged by the rapid increase in population and the expected changes in future climatic conditions. Population and economic growth has caused increases in water demands which, along with climate variability, may reduce the availability of water resources. Management strategies often employ supply-side management for water scarcity through the design and implementation of large infrastructure improvements. The stresses on water system could alternatively be reduced by conservation-based policy developments, including outdoor water use restrictions and household-level adoption of water smart technologies. An adaptive management approach may achieve high levels of water conservation most effectively. For example, policy officials may campaign for water conservation measures during drought conditions only, or inter-basin transfers may be implemented by anticipating the timing of inflows to the reservoirs. This research will explore adaptive basin-scale management strategies by modeling an urban water resources system as a Complex Adaptive System. Agent-based modeling is used to represent policy and consumer water use model, and are coupled with a reservoir system model. Policy officials can select pumping and inter-basin transfer operations and or water use restrictions, and consumers can select water use behaviors based on policy developments and pricing information. The proposed adaptive modeling framework will be applied to a case study, and optimal management strategies will be developed to minimize energy costs for different climatic conditions. © 2011 ASCE.</t>
  </si>
  <si>
    <t>River basins; Sustainable development; Water resources</t>
  </si>
  <si>
    <t>Adaptive Management; Adaptive modeling; Agent-based modeling; Climate variability; Climatic conditions; Complex adaptive systems; Conservation measures; Drought conditions; Economic growths; Energy cost; Infrastructure improvements; Management strategies; Optimal management strategy; Policy development; Reservoir systems; River basins; Smart technology; Urban water resources; Water demand; Water resources systems; Water scarcity; Water system; Water use; Water-use behavior; Adaptive systems; Bearings (structural); Climatology; Economics; Management; Optimization; Population statistics; Sustainable development; Water conservation; Water management; Water supply; Reservoirs (water)</t>
  </si>
  <si>
    <t>2-s2.0-79960411215</t>
  </si>
  <si>
    <t>Giacomoni M.H., Zechman E.M.</t>
  </si>
  <si>
    <t>35114687100;6506331398;</t>
  </si>
  <si>
    <t>Assessing sustainability of integrated urban water resources systems through a complex adaptive systems approach</t>
  </si>
  <si>
    <t>10.1061/41173(414)297</t>
  </si>
  <si>
    <t>https://www.scopus.com/inward/record.uri?eid=2-s2.0-79960384480&amp;doi=10.1061%2f41173%28414%29297&amp;partnerID=40&amp;md5=719a19c716543af20ed758c3d6355e69</t>
  </si>
  <si>
    <t>The sustainability of urban water resources is the emergent property of a set of interactions across diverse water sectors, consumers, and management strategies. The availability and quality of water resources are threatened by processes including increasing water consumption caused by population growth and hydrologic alterations due to land use change and climate change. As these processes involve interactions among the built, human, and natural environments, a novel modeling technique is developed here to capture the interactions among diverse systems and their impacts on the emergent sustainability of water resources. This research presents a Complex Adaptive Systems (CAS) approach, which simulates the interactions among population growth, construction of houses, land use change, domestic water use practices, and hydrologic processes, through the integration of a set of complex modeling paradigms, including agent based models and cellular automata with hydrologic models. A sustainability index is computed as the product of reliability, resilience and vulnerability of the system and is used to assess different management scenarios and adaptive strategies. The CAS framework is demonstrated for assessing the performance of adaptive land and water use strategies in the development of more sustainable water management strategies. © 2011 ASCE.</t>
  </si>
  <si>
    <t>Sustainable development; Water resources</t>
  </si>
  <si>
    <t>Adaptive strategy; Agent-based model; Complex adaptive systems; Complex modeling; Domestic water use; Emergent property; Hydrologic models; Hydrologic process; Land-use change; Management scenarios; Management strategies; Modeling technique; Natural environments; Population growth; Quality of water; Sustainability index; Sustainable water management; Urban water resources; Water consumption; Water sector; Water use strategies; Adaptive systems; Bearings (structural); Cellular automata; Climate change; Land use; Mathematical models; Pattern recognition systems; Planning; Population statistics; Water conservation; Water management; Water quality; Water supply; Sustainable development</t>
  </si>
  <si>
    <t>2-s2.0-79960384480</t>
  </si>
  <si>
    <t>Soboll A., Elbers M., Barthel R., Schmude J., Ernst A., Ziller R.</t>
  </si>
  <si>
    <t>35119361500;37065869000;14321134500;23669330000;55493491600;37066828100;</t>
  </si>
  <si>
    <t>Integrated regional modelling and scenario development to evaluate future water demand under global change conditions</t>
  </si>
  <si>
    <t>Mitigation and Adaptation Strategies for Global Change</t>
  </si>
  <si>
    <t>10.1007/s11027-010-9274-6</t>
  </si>
  <si>
    <t>https://www.scopus.com/inward/record.uri?eid=2-s2.0-79952574963&amp;doi=10.1007%2fs11027-010-9274-6&amp;partnerID=40&amp;md5=be3f24bcad4fcc53503c5b8670ae6416</t>
  </si>
  <si>
    <t>Within climate change impact research, the consideration of socioeconomic processes remains a challenge. Socioeconomic systems must be equipped to react and adapt to global change. However, any reasonable development or assessment of sustainable adaptation strategies requires a comprehensive consideration of human-environment interactions. This requirement can be met through multi-agent simulation, as demonstrated in the interdisciplinary project GLOWA-Danube (GLObal change of the WAter Cycle; www. glowa-danube.de). GLOWA-Danube has developed an integrated decision support tool for water and land use management in the Upper Danube catchment (parts of Germany and Austria, 77,000 km2). The scientific disciplines invoked in the project have implemented sixteen natural and social science models, which are embedded in the simulation framework DANUBIA. Within DANUBIA, a multi-agent simulation approach is used to represent relevant socioeconomic processes. The structure and results of three of these multi-agent models, WaterSupply, Household and Tourism, are presented in this paper. A main focus of the paper is on the development of global change scenarios (climate and society) and their application to the presented models. The results of different simulation runs demonstrate the potential of multi-agent models to represent feedbacks between different water users and the environment. Moreover, the interactive usage of the framework allows to define and vary scenario assumptions so as to assess the impact of potential interventions. It is shown that integrated modelling and scenario design not only provide valuable information, but also offer a platform for discussing complex human-environment-interactions with stakeholders. © 2010 Springer Science+Business Media B.V.</t>
  </si>
  <si>
    <t>Domestic water demand; Global change; Integrated water resources management; Interdisciplinary framework approach; Multi-agent simulation; Regional modelling; Tourism; Water users</t>
  </si>
  <si>
    <t>catchment; decision support system; global change; land use; nature-society relations; numerical model; socioeconomic impact; stakeholder; sustainability; tourism; water demand; water management; water resource; water supply; Austria; Danube Basin; Germany</t>
  </si>
  <si>
    <t>2-s2.0-79952574963</t>
  </si>
  <si>
    <t>Swiecicka D., Garboś S.</t>
  </si>
  <si>
    <t>6508343015;6602828582;</t>
  </si>
  <si>
    <t>[Assessment of human health exposure connected with consumption of water characterized with elevated concentration level of silver released from jug water filter systems]. [Ocena narazenia zdrowia ludzkiego zwiazanego ze spozywaniem wody o podwyzszonym poziomie stezenia srebra wymywanego z systemów filtrów dzbankowych.]</t>
  </si>
  <si>
    <t>Roczniki Państwowego Zakładu Higieny</t>
  </si>
  <si>
    <t>61</t>
  </si>
  <si>
    <t>https://www.scopus.com/inward/record.uri?eid=2-s2.0-77958171679&amp;partnerID=40&amp;md5=150a3931619458326abde77dc7aacbf4</t>
  </si>
  <si>
    <t>Silver usually exists in tap water at concentrations which are not connected with human health risk and therefore maximum admissible concentration level of this element was not established in Directive 98/83/EC concerning quality of water intended for human consumption. Disinfection of water based on generation of silver or silver compounds by electrochemical process could led to the increase of concentration of this metal in disinfected water up to level of 0.050 mg/l or higher although it should be underlined that this type of technology is not used in Poland. However in the case of application of bacteriostatic agents based on silver salts, e.g., in jug water filter systems consist of cartridges with activated carbon modified by silver compounds, this element may migrate into purified and further consumed water (applied also for preparation of coffee, tea, soup and dilution of concentrated juices) in amounts which provide essential part of daily dose of silver taken orally by human. In this work the results showing the concentration levels of silver released into purified water in the case of application of jug water filter systems with cartridges consist of activated carbon modified with silver compounds and ion exchanger were presented. Study was performed according to British Standard BS 8427:2004 which describes requirements in respect to the performance of jug water filter systems used for the domestic treatment of drinking water The concentrations of silver in challenge water purified by jug water filter systems were determined using validated method of determination of silver by inductively coupled plasma optical emission spectrometry technique (ICP-OES). In accordance to type of jug water filter systems applied grand mean of silver concentrations achieved during whole cycle of exploitations of product (including possibility of filtrations of 100 l of water) were in the range 0.0022 mg/l-0.0175 mg/l, which is not provided essential human health risk.</t>
  </si>
  <si>
    <t>fresh water; silver; article; calibration; chemistry; environmental exposure; environmental monitoring; filtration; household; human; methodology; Poland; risk factor; water management; water pollutant; Calibration; Environmental Exposure; Environmental Monitoring; Filtration; Fresh Water; Household Articles; Humans; Poland; Risk Factors; Silver; Water Pollutants, Chemical; Water Purification</t>
  </si>
  <si>
    <t>2-s2.0-77958171679</t>
  </si>
  <si>
    <t>A complex adaptive systems approach to simulate urban water resources sustainability</t>
  </si>
  <si>
    <t>World Environmental and Water Resources Congress 2010: Challenges of Change - Proceedings of the World Environmental and Water Resources Congress 2010</t>
  </si>
  <si>
    <t>10.1061/41114(371)262</t>
  </si>
  <si>
    <t>https://www.scopus.com/inward/record.uri?eid=2-s2.0-77954969310&amp;doi=10.1061%2f41114%28371%29262&amp;partnerID=40&amp;md5=c3b65066b43319d7f91390a47deeab5c</t>
  </si>
  <si>
    <t>Urban growth impacts the sustainability of water resources due to conversion of natural to impervious cover and increased withdraws for human consumption. These processes increase runoff, change the timing of in-stream flows and storage, and deplete available water resources. The quality and availability of urban water resources, therefore, is the aggregated result of land- and water-use choices of citizens in a municipality. For example, land owners define the amount of imperviousness in lots through the adoption of Low Impact Development (LID), and consumers choose water conservation techniques and practices. Consumer decision-making is a dynamic process, however, as it is driven by water resources policies, which is, in turn, based on the current quality and availability of water resources. This research simulates a watershed as a Complex Adaptive System (CAS), which is characterized by interacting actors who influence and are influenced by the environment and the choices of other actors through dynamic feedback processes. A CAS can be simulated through the use of Agent Based Models (ABMs), which represents the interaction of multiple actors within an environment. A CAS framework is developed for an illustrative case study to simulate landowners and households as ABMs, coupled with a hydrologic and reservoir model. Agents make decisions to choose land use types, implement LID, and adopt water conservation practices. The CAS framework presents a more comprehensive view of the urban water system and the dynamic interactions between stormwater management and water supply for facilitating the water resources planning process. © 2010 ASCE.</t>
  </si>
  <si>
    <t>Sustainable development; Urban areas; Water resources; Watersheds</t>
  </si>
  <si>
    <t>Agent-based model; Available water; Complex adaptive systems; Current quality; Dynamic feedback; Dynamic interaction; Dynamic process; Human consumption; Illustrative case; Impervious cover; Land owners; Land use type; Low impact development; Reservoir models; Stormwater managements; Urban areas; Urban growth; Urban water resources; Urban water systems; Water resources planning; Water use; Adaptive systems; Computer simulation; Decision making; Engineering geology; Landforms; Regional planning; Reservoirs (water); Snow and ice removal; Strategic planning; Stream flow; Sustainable development; Water conservation; Water supply; Watersheds; Water resources</t>
  </si>
  <si>
    <t>2-s2.0-77954969310</t>
  </si>
  <si>
    <t>Chu J., Wang C., Chen J., Wang H.</t>
  </si>
  <si>
    <t>7402881050;7501637590;55860425800;36619287400;</t>
  </si>
  <si>
    <t>Agent-based residential water use behavior simulation and policy implications: A case-study in Beijing city</t>
  </si>
  <si>
    <t>23</t>
  </si>
  <si>
    <t>10.1007/s11269-009-9433-2</t>
  </si>
  <si>
    <t>https://www.scopus.com/inward/record.uri?eid=2-s2.0-77349092362&amp;doi=10.1007%2fs11269-009-9433-2&amp;partnerID=40&amp;md5=e06926cf1bd85bbb340fe6ef65b9b0dd</t>
  </si>
  <si>
    <t>Residential water use constitutes a major part of urban water demand, and has be gaining importance in the urban water supply. Considering the complexity of residential water use system, an agent-based social simulation, i. e. the Residential Water Use Model (RWUM), is developed in this paper to capture the behavioral characteristics of residential water usage. By disaggregating total water demands down to constituent end-uses, this model can evaluate heterogeneous consumer responses on water, taking into account the factors of market penetration of water-saving technologies, regulatory policies, economic development, as well as social consciousness and preferences. Also, uncertainty analysis technique is innovatively applied in this agent-based model for parameter calibration and model robust testing. According to the case study in Beijing, this model can provide insights to water management agency in evaluating different water usage polices, as well as estimations for potential water saving for future infrastructure development planning. © Springer Science+Business Media B.V. 2009.</t>
  </si>
  <si>
    <t>Agent-based social simulation; Residential water use; Uncertainty analysis; Water consumption behavior; Water demand; Water policy</t>
  </si>
  <si>
    <t>Agent based; Social simulations; Water consumption; Water demand; Water policies; Water use; Biochemical oxygen demand; Competition; Mathematical models; Planning; Uncertainty analysis; Water conservation; Water management; Water recycling; Water supply; Water supply systems; Water analysis; modeling; uncertainty analysis; urban area; water demand; water management; water planning; water use; Beijing [Beijing (ADS)]; Beijing [China]; China</t>
  </si>
  <si>
    <t>2-s2.0-77349092362</t>
  </si>
  <si>
    <t>Galán J.M., López-Paredes A., Del Olmo R.</t>
  </si>
  <si>
    <t>15050700600;25225488600;15050320400;</t>
  </si>
  <si>
    <t>An agent-based model for domestic water management in Valladolid metropolitan area</t>
  </si>
  <si>
    <t>Water Resources Research</t>
  </si>
  <si>
    <t>45</t>
  </si>
  <si>
    <t>W05401</t>
  </si>
  <si>
    <t>10.1029/2007WR006536</t>
  </si>
  <si>
    <t>https://www.scopus.com/inward/record.uri?eid=2-s2.0-67650323709&amp;doi=10.1029%2f2007WR006536&amp;partnerID=40&amp;md5=79c47836a352b3988beadd254b125bf7</t>
  </si>
  <si>
    <t>In this work we demonstrate that the combination of agent-based modeling and simulation constitutes a useful methodological approach to dealing with the complexity derived from multiple factors with influence in the domestic water management in emergent metropolitan areas. In particular, we adapt and integrate different social submodels, models of urban dynamics, water consumption, and technological and opinion diffusion, in an agent-based model that is, in turn, linked with a geographic information system. The result is a computational environment that enables simulating and comparing various water demand scenarios. We have parameterized our general model for the metropolitan area of Valladolid (Spain).The model shows the influence of urban dynamics (e.g., intrapopulation movements, residence typology, and changes in the territorial model) and other socio-geographic effects (technological and opinion dynamics) in domestic water demand. The conclusions drawn in this way would have been difficult to obtain using other approaches, such as conventional forecasting methods, given the need to integrate different socioeconomic and geographic aspects in one single model. We illustrate that the described methodology can complement conventional approaches, providing descriptive and formal additional insights into domestic water demand management problems. Copyright 2009 by the American Geophysical Union.</t>
  </si>
  <si>
    <t>Agent-based model; Agent-based modeling and simulation; Computational environments; Conventional approach; Domestic water; Forecasting methods; General model; Methodological approach; Metropolitan area; Multiple factors; Opinion dynamics; Parameterized; Submodels; Urban dynamics; Water consumption; Water demand; Geographic information systems; Water management; Water supply; Dynamics; GIS; metropolitan area; numerical model; water demand; water management; water planning; water use; Castilla y Leon; Eurasia; Europe; Southern Europe; Spain; Valladolid [Castilla y Leon]</t>
  </si>
  <si>
    <t>2-s2.0-67650323709</t>
  </si>
  <si>
    <t>Galán J.M., Del Olmo R., López-Paredes A.</t>
  </si>
  <si>
    <t>15050700600;15050320400;25225488600;</t>
  </si>
  <si>
    <t>Diffusion of domestic water conservation technologies in an ABM-GIS integrated model</t>
  </si>
  <si>
    <t>5271 LNAI</t>
  </si>
  <si>
    <t>10.1007/978-3-540-87656-4_70</t>
  </si>
  <si>
    <t>https://www.scopus.com/inward/record.uri?eid=2-s2.0-70350536757&amp;doi=10.1007%2f978-3-540-87656-4_70&amp;partnerID=40&amp;md5=cf0019828393141f916a5726135b1116</t>
  </si>
  <si>
    <t>The aim of this work is to analyze the effect of adoption of domestic water conservation technologies under different assumptions and scenarios in emergent metropolitan areas. For that purpose, we present an agent based model linked to a geographic information system to explore the domestic water demand in the Valladolid metropolitan area (Spain). Specifically, we adapt and integrate diverse social submodels -models of urban dynamics, water consumption, and technological and opinion diffusion- with a statistical model that characterizes the agents' water consumption behaviour. The results show the temporal impact on water consumption and technological adoption of several parameters, and the importance of the joint effect of both diffusion mechanisms. © 2008 Springer-Verlag.</t>
  </si>
  <si>
    <t>Agent based modelling; Computer simulation; Domestic water management; GIS-ABM integration; Water conservation technologies</t>
  </si>
  <si>
    <t>Agent based modelling; Agent-based model; Conservation technologies; Diffusion mechanisms; Domestic water; Domestic water management; GIS-ABM integration; Integrated models; Joint effect; Metropolitan area; Statistical models; Submodels; Technological adoption; Urban dynamics; Water consumption; Artificial intelligence; Computational methods; Diffusion; Geographic information systems; Mathematical models; Simulators; Technology; Water conservation; Water management; Water supply; Water analysis</t>
  </si>
  <si>
    <t>2-s2.0-70350536757</t>
  </si>
  <si>
    <t>Becu N., Neef A., Schreinemachers P., Sangkapitux C.</t>
  </si>
  <si>
    <t>6507192492;8332754100;12039428300;8332754400;</t>
  </si>
  <si>
    <t>Participatory computer simulation to support collective decision-making: Potential and limits of stakeholder involvement</t>
  </si>
  <si>
    <t>Land Use Policy</t>
  </si>
  <si>
    <t>25</t>
  </si>
  <si>
    <t>10.1016/j.landusepol.2007.11.002</t>
  </si>
  <si>
    <t>https://www.scopus.com/inward/record.uri?eid=2-s2.0-42149186939&amp;doi=10.1016%2fj.landusepol.2007.11.002&amp;partnerID=40&amp;md5=35c2679946ac89a8f847b1db9a3e0d5f</t>
  </si>
  <si>
    <t>System models in agriculture and natural resource management are usually developed by researchers to advise policy makers on the likely outcomes of alternative scenarios. Except for data collection, stakeholders-like farm households-are rarely involved in the research process. Companion modeling (ComMod) has been developed as a modeling approach to include various stakeholders in a continuous feedback loop between researchers and stakeholders. Whereas other ComMod approaches have used role playing games as an interface between researchers and stakeholders-assuming that stakeholders have difficulties understanding a computer model-this paper explores the potential of a participatory modeling approach in which stakeholders are directly confronted with the model by assessing its assumptions, interpreting simulation results, and suggesting scenarios. The approach is applied to two villages in a watershed in northern Thailand. One lowland village, populated by farmers of mostly Thai ethnic origin, depends partially on an upland village inhabited by farmers of Hmong ethnic origin for its water supply. Water scarcity has led to conflicts between these two villages in the past. In three rounds of participatory simulation sessions the potential of the ComMod model was tested. Our findings confirm that researchers face particular challenges in making local stakeholders understand the model as a reproduction of reality and not as reality itself. The idea of a scenario as a hypothetical situation was also difficult to convey. An ex-post analysis among participants showed that farmers who attended several sessions had a clear understanding of the model and one-third of the participants thought it useful to exchange points of view with the other community and to define new collective rules for water sharing. Applying ComMod in a context that is characterized by social tensions and power differentials, however, needs careful consideration of the potential implications on less powerful actors. © 2007 Elsevier Ltd. All rights reserved.</t>
  </si>
  <si>
    <t>Companion modeling; Multi-agent systems; Participatory research; Thailand; Water scarcity</t>
  </si>
  <si>
    <t>computer simulation; decision making; modeling; participatory approach; planning method; stakeholder; water planning; water supply; watershed; Asia; Eurasia; Southeast Asia; Thailand</t>
  </si>
  <si>
    <t>2-s2.0-42149186939</t>
  </si>
  <si>
    <t>Barthel R., Janisch S., Schwarz N., Trifkovic A., Nickel D., Schulz C., Mauser W.</t>
  </si>
  <si>
    <t>14321134500;23985201400;23986260300;8700812500;8700812300;56110737200;7003713139;</t>
  </si>
  <si>
    <t>An integrated modelling framework for simulating regional-scale actor responses to global change in the water domain</t>
  </si>
  <si>
    <t>10.1016/j.envsoft.2008.02.004</t>
  </si>
  <si>
    <t>https://www.scopus.com/inward/record.uri?eid=2-s2.0-43849108153&amp;doi=10.1016%2fj.envsoft.2008.02.004&amp;partnerID=40&amp;md5=36881594cfe4184fc2e1ee61d44c7e13</t>
  </si>
  <si>
    <t>Within coupled hydrological simulation systems, taking socio-economic processes into account is still a challenging task. In particular, systems that aim at evaluating impacts of climatic change on large spatial and temporal scales cannot be based on the assumption that infrastructure, economy, demography and other human factors remain constant while physical boundary conditions change. Therefore, any meaningful simulation of possible future scenarios needs to enable socio-economic systems to react and to adapt to climatic changes. To achieve this it is necessary to simulate decision-making processes of the relevant actors in a way which is adequate for the scale, the catchment specific management problems to be investigated and finally the data availability. This contribution presents the DeepActor approach for representing such human decision processes, which makes use of a multi-actor simulation framework and has similarities to agent-based approaches. This DeepActor approach is embedded in Danubia, a coupled simulation system comprising 16 individual models to simulate Global Change impacts on the entire water cycle of the Upper Danube Catchment (Germany, 77,000 km2). The applicability of Danubia and in particular the DeepActor approach for treating the socio-economic part of the water cycle in a process-based way is demonstrated by means of concrete simulation models of the water supply sector and of the domestic water users. Results from scenario simulations are used to demonstrate the capabilities and limitations of the approach. © 2008 Elsevier Ltd. All rights reserved.</t>
  </si>
  <si>
    <t>Actors; Climate change; Coupled simulation; Domestic water use; Framework technology; Integrated water resources management; Regional scale model; Social simulation; Water supply</t>
  </si>
  <si>
    <t>Boundary conditions; Computer simulation; Decision making; Economic and social effects; Embedded systems; Water supply; Domestic water use; Framework technology; Integrated water resources management; Regional scale model; Social simulation; Climate change; climate change; decision making; demography; global change; hydrological modeling; integrated approach; socioeconomic conditions; water management; water supply; water use; Central Europe; Danube Basin; Eurasia; Europe; Germany</t>
  </si>
  <si>
    <t>2-s2.0-43849108153</t>
  </si>
  <si>
    <t>Abras S., Ploix S., Pesty S., Jacomino M.</t>
  </si>
  <si>
    <t>23003629300;6602492062;23005999000;23005034700;</t>
  </si>
  <si>
    <t>A multi-agent home automation system for power management</t>
  </si>
  <si>
    <t>Lecture Notes in Electrical Engineering</t>
  </si>
  <si>
    <t>10.1007/978-3-540-79142-3_6</t>
  </si>
  <si>
    <t>https://www.scopus.com/inward/record.uri?eid=2-s2.0-69449108331&amp;doi=10.1007%2f978-3-540-79142-3_6&amp;partnerID=40&amp;md5=1515eb7456d474b340acd3358aa149f5</t>
  </si>
  <si>
    <t>This paper presents the principles of a Home Automation system dedicated to power management that adapts power consumption to available power ressources according to user comfort and cost criteria. The system relies on a multi-agent paradigm. Each agent is embedded into a power resource or an equipment, which may be an environment (thermal-air, thermal-water, ventilation, luminous) or a service (washing, cooking), and cooperates and coordinates its action with others in order to find acceptable near-optimal solution. The control algorithm is decomposed into two complementary mechanisms: an emergency mechanism, which protects from constraint violations, and an anticipation mechanism, which computes the best future set-points according to predicted consumptions and productions and to user criteria. The paper details a negotiation protocol used by the both mechanisms and presents some preliminary simulation results. © 2008 Springer-Verlag Berlin Heidelberg.</t>
  </si>
  <si>
    <t>Automatic control; Home automation system; Multi-agent systems; Negotiation and cooperation; Power management</t>
  </si>
  <si>
    <t>con trol algorithms; constraint violations; Cost criteria; Heidelberg (CO); Home automation systems; In control; In order; Informatics; international conferences; Multi agents; Near-optimal solutions; Negotiation protocols; Power consumption (CE); Power management (PM); Set-points; simulation results; Springer (CO); user comfort; Electric power measurement; Energy management; Energy policy; Equipment; Industrial engineering; Mechanisms; Mechanization; Multi agent systems; Robotics; Telecommunication networks; Automation</t>
  </si>
  <si>
    <t>2-s2.0-69449108331</t>
  </si>
  <si>
    <t>Tanimoto J., Hagishima A., Sagara H.</t>
  </si>
  <si>
    <t>6602476370;6505814162;16745151400;</t>
  </si>
  <si>
    <t>Validation of methodology for utility demand prediction considering actual variations in inhabitant behaviour schedules</t>
  </si>
  <si>
    <t>Journal of Building Performance Simulation</t>
  </si>
  <si>
    <t>10.1080/19401490701868471</t>
  </si>
  <si>
    <t>https://www.scopus.com/inward/record.uri?eid=2-s2.0-80755177066&amp;doi=10.1080%2f19401490701868471&amp;partnerID=40&amp;md5=8be06b7a23f34e8adb83759701ffb00d</t>
  </si>
  <si>
    <t>A data set of myriad and time-varying inhabitant behaviour schedules with a 15-min time resolution, generated by the authors in a previous study, is validated through a comparison analysis. The key idea of generating a set of raw schedule data from the restricted statistical information is called the ‘generate and kill’ concept, which is commonly used in the fields of artificial intelligence and multi-agent simulation. In the present study, we show three comparisons. The first and second compare the estimated demand with a time series of measured utility demand. These comparisons indicate that the generated data and the algorithm, as described by the authors, have the required robustness. Another comparison between the estimate and the annually averaged daily water demand of a residential area, consisting of 9327 residences, also shows an acceptable consistency. © 2008 International Building Performance Simulation Association (IBPSA).</t>
  </si>
  <si>
    <t>Inhabitant behaviour schedules; Residential building; Time series of total utility demand</t>
  </si>
  <si>
    <t>Artificial intelligence; Housing; Time series; Behaviour schedules; Comparison analysis; Daily water demand; Demand prediction; Multi agent simulation; Residential areas; Residential building; Statistical information; Multi agent systems</t>
  </si>
  <si>
    <t>2-s2.0-80755177066</t>
  </si>
  <si>
    <t>Berger T., Birner R., Díaz J., McCarthy N., Wittmer H.</t>
  </si>
  <si>
    <t>55217189300;6603688978;16067374200;55412448600;23493827000;</t>
  </si>
  <si>
    <t>Capturing the complexity of water uses and water users within a multi-agent framework</t>
  </si>
  <si>
    <t>Integrated Assessment of Water Resources and Global Change: A North-South Analysis</t>
  </si>
  <si>
    <t>10.1007/978-1-4020-5591-1-9</t>
  </si>
  <si>
    <t>https://www.scopus.com/inward/record.uri?eid=2-s2.0-84890391479&amp;doi=10.1007%2f978-1-4020-5591-1-9&amp;partnerID=40&amp;md5=854e2f00b83a38b28b68d16088292d6e</t>
  </si>
  <si>
    <t>Due to the hydrological and socio-economic complexity of water use within river basins and even sub-basins, it is a considerable challenge to manage water resources in an efficient, equitable and sustainable way. This paper shows that multi-agent simulation (MAS) is a promising approach to better understand the complexity of water uses and water users within sub-basins. This approach is especially suitable to take the collective action into account when simulating the outcome of technical innovation and policy change. A case study from Chile is used as an example to demonstrate the potential of the MAS framework. Chile has played a pioneering role in water policy reform by privatizing water rights and promoting trade in such rights, devolving irrigation management authority to user groups, and privatizing the provision of irrigation infrastructure. The paper describes the different components of a MAS model developed for four micro-watersheds in the Maule river basin. Preliminary results of simulation experiments are presented, which show the impacts of technical change and of informal rental markets on household income and water use efficiency. The paper also discusses how the collective action problems in water markets and in small-scale and large-scale infrastructure provision can be captured by the MAS model. To promote the use of the MAS approach for planning purposes, a collaborative research and learning framework has been established, with a recently created multi-stakeholder platform at the regional level (Comisión Regional de Recursos Hidricos) as the major partner. Finally, the paper discusses the potentials of using MAS models for water resources management, such as increasing transparency as an aspect of good governance. The challenges, for example the need to build trust in the model, are discussed as well. © 2007 Springer.</t>
  </si>
  <si>
    <t>Chile; Collective action; Innovations; Integrated water resources management; Multi-agent systems; Simulation models; Trade of water rights</t>
  </si>
  <si>
    <t>Chile; Collaborative research; Collective action; Integrated Water Resources Management; Large scale infrastructures; Multi agent simulation; Water resources management; Water rights; Commerce; Computer simulation; Economic and social effects; Innovation; Irrigation; Multi agent systems; Water management; Watersheds; Water supply</t>
  </si>
  <si>
    <t>2-s2.0-84890391479</t>
  </si>
  <si>
    <t>Chu J.-Y., Chen J.-N., Wang C.</t>
  </si>
  <si>
    <t>7402881050;15135022700;7501637590;</t>
  </si>
  <si>
    <t>Simulation and analysis on mechanisms of urban households water use</t>
  </si>
  <si>
    <t>https://www.scopus.com/inward/record.uri?eid=2-s2.0-34248380580&amp;partnerID=40&amp;md5=ad591bcacb7dd9e9d2cf29066a5c0be9</t>
  </si>
  <si>
    <t>According to theory of agent based social simulation, an evaluation model of the water use mechanism of urban households was established. From the technical economic and social sides, the water use behavior mechanism was investigated. Based on the statistical and survey data of Beijing, the parameter distinguishing and the test of the model was carried out by utilizing uncertainty analysis. The main structure of urban household water usage was in the process changing from water tap and washing machine towards shower bath and toilet washing. The water tap and washing machine could use smaller investment to obtain improvement of water use efficiency of larger range; the enhancement of water price could produce restraining action on tap water demand and also stimulate the demand of reused water. People adopted irrational principle when purchasing water conservation devices under the condition of water price in Beijing at present, only about 40% consumers would like to adopt reused water.</t>
  </si>
  <si>
    <t>Beijing; Mechanism; Resident; Wastewater reuse; Water conservation</t>
  </si>
  <si>
    <t>2-s2.0-34248380580</t>
  </si>
  <si>
    <t>Zellner M.L.</t>
  </si>
  <si>
    <t>23670565900;</t>
  </si>
  <si>
    <t>Generating policies for sustainable water use in complex scenarios: An integrated land-use and water-use model of Monroe County, Michigan</t>
  </si>
  <si>
    <t>Environment and Planning B: Planning and Design</t>
  </si>
  <si>
    <t>34</t>
  </si>
  <si>
    <t>10.1068/b32152</t>
  </si>
  <si>
    <t>https://www.scopus.com/inward/record.uri?eid=2-s2.0-34547159751&amp;doi=10.1068%2fb32152&amp;partnerID=40&amp;md5=8e964c36ca2b4075ffe96e7b452583ac</t>
  </si>
  <si>
    <t>Rapidly declining groundwater levels since the early 1990s have raised serious concern in Monroe County, Michigan. Hydrological studies suggest that land-use changes have caused this decline. The mechanisms linking land-use and groundwater dynamics are not clear, however. In this paper I present WULUM, the Water-Use and Land-Use Model, an agent-based model that serves as an analytical framework to understand how these processes interact to create the observed patterns of resource depletion, and to suggest policies to reverse the process. The land-use component includes the main groundwater extractors in the county - stone quarries, golf courses, farms, and households. The groundwater component includes the glacial deposits and the underlying bedrock acquifer. The behavior of water users is defined by simple rules that determine their location and consumption. The dynamics of groundwater are represented through infiltration and diffusion rules between each cell and its immediate neighbors. Initial explorations with the model showed that land-use patterns contributed significantly to groundwater declines, while eliminating quarry dewatering did not entirely solve the problem. Both low-density and high-density zoning restrictions improved aquifer conditions over medium-density development, suggesting a nonlinear relationship between intensity of residential use and groundwater levels. Moreover, of all the natural and policy variables, zoning had the greatest influence on urban settlement and therefore on resource consumption.</t>
  </si>
  <si>
    <t>dewatering; groundwater; land use change; resource depletion; water use; zoning policy; Michigan; Monroe County [Michigan]; North America; United States</t>
  </si>
  <si>
    <t>2-s2.0-34547159751</t>
  </si>
  <si>
    <t>Berger T., Birner R., Mccarthy N., Díaz J., Wittmer H.</t>
  </si>
  <si>
    <t>55217189300;6603688978;55412448600;16067374200;23493827000;</t>
  </si>
  <si>
    <t>Capturing the complexity of water uses and water users within a multi - Agent framework</t>
  </si>
  <si>
    <t>10.1007/s11269-006-9045-z</t>
  </si>
  <si>
    <t>https://www.scopus.com/inward/record.uri?eid=2-s2.0-33845954665&amp;doi=10.1007%2fs11269-006-9045-z&amp;partnerID=40&amp;md5=b2c1e1b0e40c26331ccda407ffd352cc</t>
  </si>
  <si>
    <t>Due to the hydrological and socio-economic complexity of water use within river basins and even sub-basins, it is a considerable challenge to manage water resources in an efficient, equitable and sustainable way. This paper shows that multi-agent simulation (MAS) is a promising approach to better understand the complexity of water uses and water users within sub-basins. This approach is especially suitable to take the collective action into account when simulating the outcome of technical innovation and policy change. A case study from Chile is used as an example to demonstrate the potential of the MAS framework. Chile has played a pioneering role in water policy reform by privatizing water rights and promoting trade in such rights, devolving irrigation management authority to user groups, and privatizing the provision of irrigation infrastructure. The paper describes the different components of a MAS model developed for four micro-watersheds in the Maule river basin. Preliminary results of simulation experiments are presented, which show the impacts of technical change and of informal rental markets on household income and water use efficiency. The paper also discusses how the collective action problems in water markets and in small-scale and large-scale infrastructure provision can be captured by the MAS model. To promote the use of the MAS approach for planning purposes, a collaborative research and learning framework has been established, with a recently created multi-stakeholder platform at the regional level (Comisión Regional de Recursos Hidricos) as the major partner. Finally, the paper discusses the potentials of using MAS models for water resources management, such as increasing transparency as an aspect of good governance. The challenges, for example the need to build trust in the model, are discussed as well. © Springer Science+Business Media, Inc. 2006.</t>
  </si>
  <si>
    <t>Computer simulation; Economic and social effects; Hydrology; Irrigation; Management; Water resources; Watersheds; Chile; Collective action; Innovations; Simulation models; Water resources management; Water rights; Multi agent systems; Computer simulation; Economic and social effects; Hydrology; Irrigation; Management; Multi agent systems; Water resources; Watersheds; collective action; innovation; irrigation; river basin; simulation; water management; water planning; water resource; water use efficiency; Chile; Maule; South America</t>
  </si>
  <si>
    <t>2-s2.0-33845954665</t>
  </si>
  <si>
    <t>ICINCO 2006 - 3rd International Conference on Informatics in Control, Automation and Robotics, Proceedings</t>
  </si>
  <si>
    <t>ICSO</t>
  </si>
  <si>
    <t>https://www.scopus.com/inward/record.uri?eid=2-s2.0-36248935041&amp;partnerID=40&amp;md5=c09c1ac9e5ce732b51d3285ce6213973</t>
  </si>
  <si>
    <t>This paper presents the principles of a Home Automation system dedicated to power management that adapts power consumption to available power ressources according to user comfort and cost criteria. The system relies on a multi-agent paradigm. Each agent is embedded into a power resource or an equipment, which may be an environment (thermal-air, thermal-water, ventilation, luminous) or a service (washing, cooking), and cooperates and coordinates its action with others in order to find acceptable near-optimal solution. The control algorithm is decomposed into two complementary mechanisms: an emergency mechanism, which protects from constraint violations, and an anticipation mechanism, which computes the best future set-points according to predicted consumptions and productions and to user criteria. The paper details a negotiation protocol used by the both mechanisms and presents some preliminary simulation results.</t>
  </si>
  <si>
    <t>Automatic control; Home Automation system; Multi-agent systems; Negotiation and cooperation; Power management</t>
  </si>
  <si>
    <t>Automatic control; Constraint violation; Control algorithms; Cost criteria; Home automation systems; Multi-Agent; Near-optimal solutions; Negotiation and cooperation; Negotiation protocol; Power Consumption; Power managements; Power resources; Setpoints; Simulation result; Algorithms; Control; Electric power measurement; Energy management; Information science; Process control; Robotics; Multi agent systems</t>
  </si>
  <si>
    <t>2-s2.0-36248935041</t>
  </si>
  <si>
    <t>Vastyan J.</t>
  </si>
  <si>
    <t>22952526100;</t>
  </si>
  <si>
    <t>Smart submersibles</t>
  </si>
  <si>
    <t>Water Well Journal</t>
  </si>
  <si>
    <t>60</t>
  </si>
  <si>
    <t>https://www.scopus.com/inward/record.uri?eid=2-s2.0-33744983938&amp;partnerID=40&amp;md5=aec0dc5398e495fd38f114ce6079b074</t>
  </si>
  <si>
    <t>The features of the new generation of constant pressure systems, are discussed. The advances in miniaturized electronics and state-of-the-art components, new variable speed, constant pressure submersible pumping systems are lighter, leaner and smart. These intelligent systems have apparatus above and below the ground. They have many new uses which include remote monitoring, control, and diagnostics from a PC within a home or facility. These new 1/3 to 1.5 hp submersible pump systems - such as the SQE system by Grundfos, are designed to provide constant pressure by varying the speed of the pump motor. When there's a demand for more water, the pump's control operates it at a higher speed. With variable speed pumps, the wear and tear cycle is replaced with a gentler, soft start and a slower to higher rpm rhythm that ramps up smoothly and winds down when the need for water is satisfied.</t>
  </si>
  <si>
    <t>Constant pressure systems; State-of-the-art components; Submersible pump systems; Wear and tear cycle; Automation; Electronic equipment; Multi agent systems; Personal computers; Pumps; Remote control; Intelligent control</t>
  </si>
  <si>
    <t>2-s2.0-33744983938</t>
  </si>
  <si>
    <t>Matthews R.B., Polhill J.G., Gilbert N., Roach A.</t>
  </si>
  <si>
    <t>7402909699;6508306749;56250473600;22956602900;</t>
  </si>
  <si>
    <t>Integrating agent-based social models and biophysical models</t>
  </si>
  <si>
    <t>MODSIM05 - International Congress on Modelling and Simulation: Advances and Applications for Management and Decision Making, Proceedings</t>
  </si>
  <si>
    <t>https://www.scopus.com/inward/record.uri?eid=2-s2.0-35148831248&amp;partnerID=40&amp;md5=cb5a3d6d665fdfe4ddd2fcab93bda8f2</t>
  </si>
  <si>
    <t>Spatially and temporally explicit simulation modelling of natural resource management systems provides a framework to draw together in a mathematically unambiguous manner a wealth of information, and, as such, allows rigorous testing of hypotheses of how such systems can be changed, without the time, expense and moral implications of altering a real system. In recent years, a large number of integrated assessment models linking the human and biophysical components of particular systems have been developed to address this need, but in many of these models the human dimension is based on economic cost-benefit principles that attempt to optimise use of resources such as capital or labour to maximise a particular output. Limitations to these approaches are that they are structured to represent an equilibrium when production has stabilised, they presuppose a 'goal' of the system, and do not adequately consider the microdecisions being made by the various actors within it. Agent-based modelling (ABM) is an approach that has been receiving attention in recent years as a way of linking the biophysical and socioeconomic characteristics of a system, and which provides a way of addressing these limitations. ABM has aroused the interest of environmental modellers, mainly because it offers a way of incorporating the influence of human decision-making on the environment in a mechanistic and spatially explicit way, taking into account social interaction, adaptation, and multiple scales of decision-making. Several such models are now beginning to appear, many of which involve the grafting of an ABM representing a number of households onto a cellular automata 'landscape', with each agent being linked in some way to the cells over which it has influence. Apart from changes in actual land cover, however, these models generally treat the landscape as a relatively static entity, and do not simulate processes such as soil water and nutrient dynamics. The ones that do include such processes, do so somewhat simplistically. There is a need, therefore, to integrate dynamic biophysical simulation models with these emerging agent-based social simulation models. Different approaches to integrating such models are recognised - one such scheme refers to 'loosely-coupled', 'closely-coupled', and 'fully integrated' levels of integration. Loose- and closely-coupled models exchange driving variables between them, with closely-coupled models sharing common subprocesses, meaning that temporal and spatial scales may be determined by the original (sub-)models being coupled together. By contrast, in fully integrated models, these scales are dictated by the processes being simulated. It is our view that it is necessary to focus on the fully integrated level in developing models to adequately understand the behaviour of managed ecosystems. We discuss an agent architecture that allows agents to communicate regardless of the programming language used - each agent should have a translation module that translates incoming messages and triggers the appropriate internal response, and a conversation module which checks ingoing and outgoing messages, and manages communications between multiple agents. The overall system should be coordinated by manager and router agents to ensure the provision of global information and correct delivery of communications between agents, respectively. To link this to different sub-models of biophysical processes, a limited number of common properties of the sub-models are required: (a) each sub-model must have the ability to advance one time-step on request, (b) it should be able to save the states of all its variables at the end of each time-step on request, and be able to reload these later, also on request, (c) it must be able to respond to predefined message requests for information, and (d) the calculation of rates of change of its state variables must be separate from the updating of those state variables, with both operations being carried out on request. There is a danger that such models become too complex - it is suggested that the best way forward may be to take a simple framework as the starting point, and incorporate additional detail as necessary to describe the processes of interest.</t>
  </si>
  <si>
    <t>Agent-based simulation; Integrated modelling; Socio-ecological systems</t>
  </si>
  <si>
    <t>Agent architectures; Agent based; Agent based simulation; Agent-based modelling; AS-soils; Biophysical model; Biophysical process; Common property; Driving variables; Environmental modellers; Fully integrated; Global informations; Human decision-making; Human dimensions; Integrated assessment models; Integrated modelling; Land cover; Multiple agents; Multiple scale; Natural resource management; Nutrient dynamics; Programming language; Real systems; Requests for information; Router agents; Simulation model; Social interactions; Social models; Social simulations; Socioeconomic characteristics; Spatial scale; Spatially explicit; State variables; Submodels; Time step; Wealth of information; Agent based social simulation; Biophysical simulation models; Environmental modellers; Integrated assessment models; Natural resource management; Requests for information; Socioeconomic characteristics; Temporal and spatial scale; Biophysics; C (programming language); Cellular automata; Decision making; Ecology; Economic and social effects; Geologic models; Information management; Integration; Multi agent systems; Natural resources management; Program translators; Real time systems; Routers; Soil moisture; Translation (languages); Autonomous agents; Biophysics; Computational methods; Cost benefit analysis; Economic and social effects; Information management; Multi agent systems; Natural resources management; Program translators; Real time systems; Soil moisture; Translation (languages); Computer simulation; Decision making</t>
  </si>
  <si>
    <t>2-s2.0-35148831248</t>
  </si>
  <si>
    <t>Song R., Korba L., Yee G.</t>
  </si>
  <si>
    <t>7202051455;7003540206;7006769039;</t>
  </si>
  <si>
    <t>Agent-based transactions for home energy services</t>
  </si>
  <si>
    <t>Proceedings:  DMS 2005 - 11th International Conference on Distributed Multimedia Systems</t>
  </si>
  <si>
    <t>https://www.scopus.com/inward/record.uri?eid=2-s2.0-84923911360&amp;partnerID=40&amp;md5=3d5260230e85a168d3040065a2b4d8cc</t>
  </si>
  <si>
    <t>Current home energy management systems (HEMS), which use the existing home networks and Internet as the communication infrastructure, are both inexpensive and offer definite consumer advantages. However, most of them don’t support e-services such as reporting and dealing with monthly expenses for services like power, gas, and water. A key deterrent for the handling of the e-services in this environment is that the data may be subject to a variety of active and passive attacks if the system is not designed properly. This paper describes a lightweight security architecture for e-services related to home energy services. The system is intended to protect against both inside and outside attacks by using the existing HEMS and combining the tamper-resistant devices with Internet security techniques. © 2005 by Knowledge Systems Institute Graduate School.</t>
  </si>
  <si>
    <t>Energy management; Home networks; Internet; Mobile security; Multimedia systems; Personal communication systems; Agent based; Communication infrastructure; Energy services; Home energy management systems; Internet security; Lightweight securities; Passive attacks; Tamper-resistant devices; Energy management systems</t>
  </si>
  <si>
    <t>2-s2.0-84923911360</t>
  </si>
  <si>
    <t>Edmonds B., Moss S.</t>
  </si>
  <si>
    <t>7006753196;8866703200;</t>
  </si>
  <si>
    <t>From KISS to KIDS- An 'anti-simplistic' modelling approach</t>
  </si>
  <si>
    <t>3415 LNAI</t>
  </si>
  <si>
    <t>10.1007/978-3-540-32243-6_11</t>
  </si>
  <si>
    <t>https://www.scopus.com/inward/record.uri?eid=2-s2.0-26844543356&amp;doi=10.1007%2f978-3-540-32243-6_11&amp;partnerID=40&amp;md5=75c472af99782c101fd681115bf8b413</t>
  </si>
  <si>
    <t>A new approach is suggested under the slogan "Keep it Descriptive Stupid" (KIDS) that encapsulates a trend in increasingly descriptive agentbased social simulation. The KIDS approach entails one starts with the simulation model that relates to the target phenomena in the most straightforward way possible, taking into account the widest possible range of evidence, including anecdotal accounts and expert opinion. Simplification is only applied if and when the model and evidence justify this. This contrasts sharply with the KISS approach where one starts with the simplest possible model and only moves to a more complex one if forced to. An example multiagent simulation of domestic water demand and social influence is described © Springer-Verlag Berlin Heidelberg 2005.</t>
  </si>
  <si>
    <t>Computer simulation; Multi agent systems; Social sciences; Simplification; Simulation models; Systems engineering</t>
  </si>
  <si>
    <t>2-s2.0-26844543356</t>
  </si>
  <si>
    <t>Athanasiadis I.N., Mentes A.K., Mitkas P.A., Mylopoulos Y.A.</t>
  </si>
  <si>
    <t>57210555473;7003421353;7003488915;6602721569;</t>
  </si>
  <si>
    <t>A Hybrid Agent-Based Model for Estimating Residential Water Demand</t>
  </si>
  <si>
    <t>Simulation</t>
  </si>
  <si>
    <t>81</t>
  </si>
  <si>
    <t>10.1177/0037549705053172</t>
  </si>
  <si>
    <t>https://www.scopus.com/inward/record.uri?eid=2-s2.0-22244454104&amp;doi=10.1177%2f0037549705053172&amp;partnerID=40&amp;md5=84b68e562fa6fe5c325918496b1fd9bb</t>
  </si>
  <si>
    <t>The global effort toward sustainable development has initiated a transition in water management. Water utility companies use water-pricing policies as an instrument for controlling residential water demand. To support policy makers in their decisions, the authors have developed DAWN, a hybrid model for evaluating water-pricing policies. DAWN integrates an agent-based social model for the consumer with conventional econometric models and simulates the residential water demand-supply chain, enabling the evaluation of different scenarios for policy making. An agent community is assigned to behave as water consumers, while econometric and social models are incorporated into them for estimating water consumption. DAWN’s main advantage is that it supports social interaction between consumers, through an influence diffusion mechanism, implemented via inter-agent communication. Parameters affecting water consumption and associated with consumers’ social behavior can be simulated with DAWN. Real-world results of DAWN’s application for the evaluation of five water-pricing policies in Thessaloniki, Greece, are presented. © 2005, Sage Publications. All rights reserved.</t>
  </si>
  <si>
    <t>Agent-based social simulation; multiagent systems; pricing policies; residential water demand; social influence</t>
  </si>
  <si>
    <t>Computer simulation; Multi agent systems; Public utilities; Social aspects; Sustainable development; Urban planning; Water supply systems; Agent based social simulation; Pricing policies; Residential water demand; Social influence; Mathematical models</t>
  </si>
  <si>
    <t>2-s2.0-22244454104</t>
  </si>
  <si>
    <t>Moss S., Edmonds B.</t>
  </si>
  <si>
    <t>8866703200;7006753196;</t>
  </si>
  <si>
    <t>Sociology and simulation: Statistical and qualitative cross-validation</t>
  </si>
  <si>
    <t>American Journal of Sociology</t>
  </si>
  <si>
    <t>110</t>
  </si>
  <si>
    <t>10.1086/427320</t>
  </si>
  <si>
    <t>https://www.scopus.com/inward/record.uri?eid=2-s2.0-21344464230&amp;doi=10.1086%2f427320&amp;partnerID=40&amp;md5=a50497e80b95c153f01be580de8bb207</t>
  </si>
  <si>
    <t>Agent-based simulation modeling enables the construction of formal models that simultaneously can be microvalidated against accounts of individual behavior and macrovalidated against aggregate data that show the characteristics of many socially derived time series. These characteristics (leptokurtosis and clustered volatility) have two important consequences: first, they also appear in suitably structured agent-based models where, like real social actors, agents are socially embedded and metastable; second, their presence precludes the use of many standard statistical techniques like the chi-square test. These characteristics in time-series data indicate that a suitable agent-based model rather than a standard statistical model will be appropriate. This is illustrated with an agent-based model of mutual social influence on domestic water demand. The consequences for many frequently used statistical techniques are discussed. © 2005 by The University of Chicago. All rights reserved.</t>
  </si>
  <si>
    <t>2-s2.0-21344464230</t>
  </si>
  <si>
    <t>Berger T.</t>
  </si>
  <si>
    <t>55217189300;</t>
  </si>
  <si>
    <t>Agent-based spatial models applied to agriculture: A simulation tool for technology diffusion, resource use changes and policy analysis</t>
  </si>
  <si>
    <t>Agricultural Economics</t>
  </si>
  <si>
    <t>2-3</t>
  </si>
  <si>
    <t>10.1016/S0169-5150(01)00082-2</t>
  </si>
  <si>
    <t>https://www.scopus.com/inward/record.uri?eid=2-s2.0-0035168733&amp;doi=10.1016%2fS0169-5150%2801%2900082-2&amp;partnerID=40&amp;md5=079f43378cb4df93be0cb890ac3ba01b</t>
  </si>
  <si>
    <t>This paper presents a spatial multi-agent programming model, which has been developed for assessing policy options in the diffusion of innovations and resource use changes. Unlike conventional simulation tools used in agricultural economics, the model class described here applies a multi-agent/cellular automata (CA) approach by using heterogeneous farm-household models and capturing their social and spatial interactions explicitly. The individual choice of the farm-household among available production, consumption, investment and marketing alternatives is represented in recursive linear programming models. Adoption constraints are introduced in form of network-threshold values that reflect the cumulative effects of experience and observation of peers' experiences. The model's economic and hydrologic components are tightly connected into a spatial framework. The integration of economic and hydrologic processes facilitates the consideration of feedback effects in the use of water for irrigation. The simulation runs of the model are carried out with an empirical data set, which has been derived from various data sources on an agricultural region in Chile. Simulation results show that agent-based spatial modelling constitutes a powerful approach to better understanding processes of innovation and resource use change. © 2001 Elsevier Science B.V. All rights reserved.</t>
  </si>
  <si>
    <t>Cellular automata; Diffusion of innovations; Inter-household linkages; Multi-agent systems; Policy analysis</t>
  </si>
  <si>
    <t>cellular automata; innovation; modeling; policy analysis; resource use; technology diffusion; Chile</t>
  </si>
  <si>
    <t>2-s2.0-0035168733</t>
  </si>
  <si>
    <t>Lekov A., Lutz J., Whitehead C.D., McMahon J.E.</t>
  </si>
  <si>
    <t>7801325138;7203042418;7102100379;7201909374;</t>
  </si>
  <si>
    <t>Payback analysis of design options for residential water heaters</t>
  </si>
  <si>
    <t>Proceedings ACEEE Summer Study on Energy Efficiency in Buildings</t>
  </si>
  <si>
    <t>https://www.scopus.com/inward/record.uri?eid=2-s2.0-0034581274&amp;partnerID=40&amp;md5=635a02427c33631d7956e36ea8502789</t>
  </si>
  <si>
    <t>This paper describes the results of an analysis to determine the costs of increased energy efficiency for residential water heaters. In this study, cost and efficiency data were developed for a total of 23 design options for typical tank sizes applied to one or more of three water heater product classes, i.e., electric, gas-fired, and oil-fired. This analysis used computer simulation models and other analytical methods to investigate the efficiency improvements due to design options and combinations of designs. The calculations were based on the U.S. Department of Energy (DOE) test procedure for residential water heaters. The analysis included two insulation blowing agents based on non-ozone-depleting substances - HFC-245fa and water-blown. The analysis used average manufacturer, distributor, and installer costs to calculate the costs of different water heater designs. Consumer operating expenses were calculated based on modeled energy Consumption and U.S. average energy prices. With this information, a cost-efficiency relationship was developed to show the average manufacturer and consumer cost to achieve increased efficiency. The results provided the engineering basis for DOE's proposed efficiency standard for residential water heaters. These data were subsequently used in the Life-Cycle Cost and National Energy Savings components of the appliance standards rulemaking process.</t>
  </si>
  <si>
    <t>Blowing agents; Computer simulation; Costs; Energy utilization; Water heaters; Payback analysis; Energy efficiency</t>
  </si>
  <si>
    <t>2-s2.0-0034581274</t>
  </si>
  <si>
    <t>Exclusion reason</t>
  </si>
  <si>
    <t>Excluded?</t>
  </si>
  <si>
    <t>No paper</t>
  </si>
  <si>
    <t>Publication Type</t>
  </si>
  <si>
    <t>Book Authors</t>
  </si>
  <si>
    <t>Book Editors</t>
  </si>
  <si>
    <t>Book Group Authors</t>
  </si>
  <si>
    <t>Author Full Names</t>
  </si>
  <si>
    <t>Book Author Full Names</t>
  </si>
  <si>
    <t>Group Authors</t>
  </si>
  <si>
    <t>Article Title</t>
  </si>
  <si>
    <t>Source Title</t>
  </si>
  <si>
    <t>Book Series Title</t>
  </si>
  <si>
    <t>Book Series Subtitle</t>
  </si>
  <si>
    <t>Language</t>
  </si>
  <si>
    <t>Conference Title</t>
  </si>
  <si>
    <t>Conference Date</t>
  </si>
  <si>
    <t>Conference Location</t>
  </si>
  <si>
    <t>Conference Sponsor</t>
  </si>
  <si>
    <t>Conference Host</t>
  </si>
  <si>
    <t>Keywords Plus</t>
  </si>
  <si>
    <t>Addresses</t>
  </si>
  <si>
    <t>Reprint Addresses</t>
  </si>
  <si>
    <t>Email Addresses</t>
  </si>
  <si>
    <t>Researcher Ids</t>
  </si>
  <si>
    <t>ORCIDs</t>
  </si>
  <si>
    <t>Funding Orgs</t>
  </si>
  <si>
    <t>Funding Text</t>
  </si>
  <si>
    <t>Cited References</t>
  </si>
  <si>
    <t>Cited Reference Count</t>
  </si>
  <si>
    <t>Times Cited, WoS Core</t>
  </si>
  <si>
    <t>Times Cited, All Databases</t>
  </si>
  <si>
    <t>180 Day Usage Count</t>
  </si>
  <si>
    <t>Since 2013 Usage Count</t>
  </si>
  <si>
    <t>Publisher</t>
  </si>
  <si>
    <t>Publisher City</t>
  </si>
  <si>
    <t>Publisher Address</t>
  </si>
  <si>
    <t>ISSN</t>
  </si>
  <si>
    <t>eISSN</t>
  </si>
  <si>
    <t>ISBN</t>
  </si>
  <si>
    <t>Journal Abbreviation</t>
  </si>
  <si>
    <t>Journal ISO Abbreviation</t>
  </si>
  <si>
    <t>Publication Date</t>
  </si>
  <si>
    <t>Publication Year</t>
  </si>
  <si>
    <t>Part Number</t>
  </si>
  <si>
    <t>Supplement</t>
  </si>
  <si>
    <t>Special Issue</t>
  </si>
  <si>
    <t>Meeting Abstract</t>
  </si>
  <si>
    <t>Start Page</t>
  </si>
  <si>
    <t>End Page</t>
  </si>
  <si>
    <t>Article Number</t>
  </si>
  <si>
    <t>Book DOI</t>
  </si>
  <si>
    <t>Early Access Date</t>
  </si>
  <si>
    <t>Number of Pages</t>
  </si>
  <si>
    <t>WoS Categories</t>
  </si>
  <si>
    <t>Web of Science Index</t>
  </si>
  <si>
    <t>Research Areas</t>
  </si>
  <si>
    <t>IDS Number</t>
  </si>
  <si>
    <t>UT (Unique WOS ID)</t>
  </si>
  <si>
    <t>Pubmed Id</t>
  </si>
  <si>
    <t>Open Access Designations</t>
  </si>
  <si>
    <t>Highly Cited Status</t>
  </si>
  <si>
    <t>Hot Paper Status</t>
  </si>
  <si>
    <t>Date of Export</t>
  </si>
  <si>
    <t>J</t>
  </si>
  <si>
    <t>James, R; Rosenberg, DE</t>
  </si>
  <si>
    <t>James, R.; Rosenberg, D. E.</t>
  </si>
  <si>
    <t>EARTHS FUTURE</t>
  </si>
  <si>
    <t>2328-4277</t>
  </si>
  <si>
    <t>FEB</t>
  </si>
  <si>
    <t>WOS:000763473200001</t>
  </si>
  <si>
    <t>Yang, G; Wang, SY; Yang, JY; Shi, P</t>
  </si>
  <si>
    <t>Yang, Guang; Wang, Shuoyu; Yang, Junyou; Shi, Peng</t>
  </si>
  <si>
    <t>Desire-Driven Reasoning Considering Personalized Care Preferences</t>
  </si>
  <si>
    <t>IEEE TRANSACTIONS ON SYSTEMS MAN CYBERNETICS-SYSTEMS</t>
  </si>
  <si>
    <t>2168-2216</t>
  </si>
  <si>
    <t>2168-2232</t>
  </si>
  <si>
    <t>10.1109/TSMC.2021.3131338</t>
  </si>
  <si>
    <t>WOS:000733491200001</t>
  </si>
  <si>
    <t>Hemmati, M; Mahmoud, HN; Ellingwood, BR; Crooks, AT</t>
  </si>
  <si>
    <t>Hemmati, Mona; Mahmoud, Hussam N.; Ellingwood, Bruce R.; Crooks, Andrew T.</t>
  </si>
  <si>
    <t>SCIENTIFIC REPORTS</t>
  </si>
  <si>
    <t>2045-2322</t>
  </si>
  <si>
    <t>OCT 11</t>
  </si>
  <si>
    <t>WOS:000706395800094</t>
  </si>
  <si>
    <t>Ramsey, E; Berglund, EZ</t>
  </si>
  <si>
    <t>Ramsey, E.; Berglund, E. Z.</t>
  </si>
  <si>
    <t>JOURNAL OF WATER RESOURCES PLANNING AND MANAGEMENT</t>
  </si>
  <si>
    <t>Ramsey, Elizabeth/0000-0002-8704-633X</t>
  </si>
  <si>
    <t>0733-9496</t>
  </si>
  <si>
    <t>1943-5452</t>
  </si>
  <si>
    <t>OCT 1</t>
  </si>
  <si>
    <t>WOS:000687515200007</t>
  </si>
  <si>
    <t>Kubo, S; Yoshida, H; Ichimura, T; Wijerathne, MLL; Hori, M</t>
  </si>
  <si>
    <t>Kubo, Shiori; Yoshida, Hidenori; Ichimura, Tsuyoshi; Wijerathne, M. L. L.; Hori, Muneo</t>
  </si>
  <si>
    <t>Study on influence of prior recognition of flooding state on evacuation behavior</t>
  </si>
  <si>
    <t>INTERNATIONAL JOURNAL OF DISASTER RISK REDUCTION</t>
  </si>
  <si>
    <t>Hori, Muneo/0000-0002-0642-6753</t>
  </si>
  <si>
    <t>2212-4209</t>
  </si>
  <si>
    <t>SEP</t>
  </si>
  <si>
    <t>10.1016/j.ijdrr.2021.102437</t>
  </si>
  <si>
    <t>WOS:000688624600006</t>
  </si>
  <si>
    <t>Li, Y; Khalkhali, M; Mo, WW; Lu, ZM</t>
  </si>
  <si>
    <t>Li, Yue; Khalkhali, Masoumeh; Mo, Weiwei; Lu, Zhongming</t>
  </si>
  <si>
    <t>JOURNAL OF CLEANER PRODUCTION</t>
  </si>
  <si>
    <t>0959-6526</t>
  </si>
  <si>
    <t>1879-1786</t>
  </si>
  <si>
    <t>SEP 15</t>
  </si>
  <si>
    <t>WOS:000688287900003</t>
  </si>
  <si>
    <t>Araya, F; Faust, KM; Kaminsky, JA</t>
  </si>
  <si>
    <t>Araya, Felipe; Faust, Kasey M.; Kaminsky, Jessica A.</t>
  </si>
  <si>
    <t>JOURNAL OF MANAGEMENT IN ENGINEERING</t>
  </si>
  <si>
    <t>0742-597X</t>
  </si>
  <si>
    <t>1943-5479</t>
  </si>
  <si>
    <t>JUL 1</t>
  </si>
  <si>
    <t>WOS:000672204200012</t>
  </si>
  <si>
    <t>Toumia, I; Ben Hassine, A</t>
  </si>
  <si>
    <t>Toumia, Imen; Ben Hassine, Ahlem</t>
  </si>
  <si>
    <t>A-RESS new dynamic and smart system for renewable energy sharing problem</t>
  </si>
  <si>
    <t>PEERJ COMPUTER SCIENCE</t>
  </si>
  <si>
    <t>2376-5992</t>
  </si>
  <si>
    <t>JUN 28</t>
  </si>
  <si>
    <t>e610</t>
  </si>
  <si>
    <t>10.7717/peerj-cs.610</t>
  </si>
  <si>
    <t>WOS:000669143400001</t>
  </si>
  <si>
    <t>Ding, KJ; Gilligan, JM; Yang, YCE; Wolski, P; Hornberger, GM</t>
  </si>
  <si>
    <t>Ding, Ke Jack; Gilligan, Jonathan M.; Yang, Y. C. Ethan; Wolski, Piotr; Hornberger, George M.</t>
  </si>
  <si>
    <t>Assessing food-energy-water resources management strategies at city scale: An agent-based modeling approach for Cape Town, South Africa</t>
  </si>
  <si>
    <t>RESOURCES CONSERVATION AND RECYCLING</t>
  </si>
  <si>
    <t>0921-3449</t>
  </si>
  <si>
    <t>1879-0658</t>
  </si>
  <si>
    <t>JUL</t>
  </si>
  <si>
    <t>WOS:000667309200017</t>
  </si>
  <si>
    <t>Yoon, J; Klassert, C; Selby, P; Lachaut, T; Knox, S; Avisse, N; Harou, J; Tilmant, A; Klauer, B; Mustafa, D; Sigel, K; Talozi, S; Gawel, E; Medellin-Azuara, J; Bataineh, B; Zhang, H; Gorelick, SM</t>
  </si>
  <si>
    <t>PROCEEDINGS OF THE NATIONAL ACADEMY OF SCIENCES OF THE UNITED STATES OF AMERICA</t>
  </si>
  <si>
    <t>Klassert, Christian/AAR-5144-2021; Zhang, Hua/J-4639-2013</t>
  </si>
  <si>
    <t>0027-8424</t>
  </si>
  <si>
    <t>APR 6</t>
  </si>
  <si>
    <t>WOS:000637398300037</t>
  </si>
  <si>
    <t>Perello-Moragues, A; Poch, M; Sauri, D; Popartan, LA; Noriega, P</t>
  </si>
  <si>
    <t>Perello-Moragues, Antoni; Poch, Manel; Sauri, David; Popartan, Lucia Alexandra; Noriega, Pablo</t>
  </si>
  <si>
    <t>Modelling Domestic Water Use in Metropolitan Areas Using Socio-Cognitive Agents</t>
  </si>
  <si>
    <t>WATER</t>
  </si>
  <si>
    <t>2073-4441</t>
  </si>
  <si>
    <t>APR</t>
  </si>
  <si>
    <t>10.3390/w13081024</t>
  </si>
  <si>
    <t>WOS:000644891000001</t>
  </si>
  <si>
    <t>Diaz, SG; DeAngelis, DL; Gaines, MS; Purdon, A; Mole, MA; van Aarde, RJ</t>
  </si>
  <si>
    <t>Diaz, Stephanie G.; DeAngelis, Donald L.; Gaines, Michael S.; Purdon, Andrew; Mole, Michael A.; van Aarde, Rudi J.</t>
  </si>
  <si>
    <t>Development and validation of a spatially-explicit agent-based model for space utilization by African savanna elephants (Loxodonta africana) based on determinants of movement</t>
  </si>
  <si>
    <t>ECOLOGICAL MODELLING</t>
  </si>
  <si>
    <t>0304-3800</t>
  </si>
  <si>
    <t>1872-7026</t>
  </si>
  <si>
    <t>MAY 1</t>
  </si>
  <si>
    <t>10.1016/j.ecolmodel.2021.109499</t>
  </si>
  <si>
    <t>WOS:000635447500006</t>
  </si>
  <si>
    <t>Wang, YM; Zhou, YY; Franz, K; Zhang, XS; Ding, KJ; Jia, GS; Yuan, X</t>
  </si>
  <si>
    <t>Wang, Yiming; Zhou, Yuyu; Franz, Kristie; Zhang, Xuesong; Ding, Ke Jack; Jia, Gensuo; Yuan, Xing</t>
  </si>
  <si>
    <t>JUN</t>
  </si>
  <si>
    <t>WOS:000657320800049</t>
  </si>
  <si>
    <t>C</t>
  </si>
  <si>
    <t>Peirelinck, TS; Hermans, C; Spiessens, F; Deconinck, G</t>
  </si>
  <si>
    <t>IEEE</t>
  </si>
  <si>
    <t>Peirelinck, Thij S.; Hermans, Chris; Spiessens, Fred; Deconinck, Geert</t>
  </si>
  <si>
    <t>2021 IEEE PES INNOVATIVE SMART GRID TECHNOLOGY EUROPE (ISGT EUROPE 2021)</t>
  </si>
  <si>
    <t>IEEE PES Innovative Smart Grid Technologies Conference Europe</t>
  </si>
  <si>
    <t>11th IEEE-PES Innovative Smart Grid Technologies Europe (IEEE-PES ISGT Europe)</t>
  </si>
  <si>
    <t>OCT 18-21, 2021</t>
  </si>
  <si>
    <t>ELECTR NETWORK</t>
  </si>
  <si>
    <t>Deconinck, Geert/H-9508-2014</t>
  </si>
  <si>
    <t>Deconinck, Geert/0000-0002-2225-3987</t>
  </si>
  <si>
    <t>2165-4816</t>
  </si>
  <si>
    <t>978-1-6654-4875-8</t>
  </si>
  <si>
    <t>10.1109/ISGTEUROPE52324.2021.9640081</t>
  </si>
  <si>
    <t>WOS:000765815000141</t>
  </si>
  <si>
    <t>Nasrazadani, H; Mahsuli, M</t>
  </si>
  <si>
    <t>Nasrazadani, Hossein; Mahsuli, Mojtaba</t>
  </si>
  <si>
    <t>JOURNAL OF STRUCTURAL ENGINEERING</t>
  </si>
  <si>
    <t>0733-9445</t>
  </si>
  <si>
    <t>1943-541X</t>
  </si>
  <si>
    <t>NOV</t>
  </si>
  <si>
    <t>WOS:000574867900010</t>
  </si>
  <si>
    <t>Perini, T; Keskinocak, P; Li, ZH; Ruiz-Tiben, E; Swann, J; Weiss, A</t>
  </si>
  <si>
    <t>Perini, Tyler; Keskinocak, Pinar; Li, Zihao; Ruiz-Tiben, Ernesto; Swann, Julie; Weiss, Adam</t>
  </si>
  <si>
    <t>Agent-Based Simulation for Seasonal Guinea Worm Disease in Chad Dogs</t>
  </si>
  <si>
    <t>AMERICAN JOURNAL OF TROPICAL MEDICINE AND HYGIENE</t>
  </si>
  <si>
    <t>0002-9637</t>
  </si>
  <si>
    <t>1476-1645</t>
  </si>
  <si>
    <t>10.4269/ajtmh.19-0466</t>
  </si>
  <si>
    <t>WOS:000588422900037</t>
  </si>
  <si>
    <t>Ramsey, E; Pesantez, J; Fasaee, MAK; DiCarlo, M; Monroe, J; Berglund, EZ</t>
  </si>
  <si>
    <t>Ramsey, Elizabeth; Pesantez, Jorge; Fasaee, Mohammad Ali Khaksar; DiCarlo, Morgan; Monroe, Jacob; Berglund, Emily Zechman</t>
  </si>
  <si>
    <t>A Smart Water Grid for Micro-Trading Rainwater: Hydraulic Feasibility Analysis</t>
  </si>
  <si>
    <t>WOS:000594877100001</t>
  </si>
  <si>
    <t>Searle, C; Harper, VE</t>
  </si>
  <si>
    <t>Searle, C.; Harper, V. E.</t>
  </si>
  <si>
    <t>MODELLING THE TENDENCIES OF A RESIDENTIAL POPULATION TO CONSERVE WATER</t>
  </si>
  <si>
    <t>SOUTH AFRICAN JOURNAL OF INDUSTRIAL ENGINEERING</t>
  </si>
  <si>
    <t>31st Annual Conference of the Southern-African-Institute-for-Industrial-Engineering (SAIIE)</t>
  </si>
  <si>
    <t>OCT 05-07, 2020</t>
  </si>
  <si>
    <t>So African Inst Ind Engn</t>
  </si>
  <si>
    <t>Searle (nee De Kock), Christa/0000-0003-0382-4171</t>
  </si>
  <si>
    <t>2224-7890</t>
  </si>
  <si>
    <t>WOS:000590436100012</t>
  </si>
  <si>
    <t>Namany, S; Govindan, R; Alfagih, L; McKay, G; Al-Ansari, T</t>
  </si>
  <si>
    <t>Namany, Sarah; Govindan, Rajesh; Alfagih, Luluwah; McKay, Gordon; Al-Ansari, Tareq</t>
  </si>
  <si>
    <t>Sustainable food security decision-making: An agent-based modelling approach</t>
  </si>
  <si>
    <t>Al-Ansari, Tareq/0000-0002-2932-8240; Namany, Sarah/0000-0001-8176-5635; Al-Fagih, Luluwah/0000-0002-0449-1324</t>
  </si>
  <si>
    <t>MAY 10</t>
  </si>
  <si>
    <t>WOS:000520953200111</t>
  </si>
  <si>
    <t>Zhuge, CX; Yu, M; Wang, CY; Cui, YL; Liu, Y</t>
  </si>
  <si>
    <t>Zhuge, Chengxiang; Yu, Min; Wang, Chunyan; Cui, Yilan; Liu, Yi</t>
  </si>
  <si>
    <t>SCIENCE OF THE TOTAL ENVIRONMENT</t>
  </si>
  <si>
    <t>0048-9697</t>
  </si>
  <si>
    <t>1879-1026</t>
  </si>
  <si>
    <t>MAR 15</t>
  </si>
  <si>
    <t>WOS:000506214900105</t>
  </si>
  <si>
    <t>Albouys-Perrois, J; Sabouret, N; Haradji, Y; Schumann, M; Inard, C</t>
  </si>
  <si>
    <t>Corrado, V; Fabrizio, E; Gasparella, A; Patuzzi, F</t>
  </si>
  <si>
    <t>Albouys-Perrois, Jeremy; Sabouret, Nicolas; Haradji, Yvon; Schumann, Mathieu; Inard, Chrisitian</t>
  </si>
  <si>
    <t>A Co Simulation Of Photovoltaic Power Generation And Human Activity For Smart Building Energy Management And Energy Sharing</t>
  </si>
  <si>
    <t>PROCEEDINGS OF BUILDING SIMULATION 2019: 16TH CONFERENCE OF IBPSA</t>
  </si>
  <si>
    <t>16th Conference of the International-Building-Performance-Simulation-Association (IBPSA)</t>
  </si>
  <si>
    <t>SEP 02-04, 2019</t>
  </si>
  <si>
    <t>Rome, ITALY</t>
  </si>
  <si>
    <t>Int Bldg Performance Simulat Assoc</t>
  </si>
  <si>
    <t>2522-2708</t>
  </si>
  <si>
    <t>978-1-7750520-1-2</t>
  </si>
  <si>
    <t>10.26868/25222708.2019.210749</t>
  </si>
  <si>
    <t>WOS:000709431302040</t>
  </si>
  <si>
    <t>Grignard, A; Tri, NH; Gaudou, B; Doanh, NN; Brugiere, A; Tu, DH; Nghi, HQ; Khanh, NT; Larson, K</t>
  </si>
  <si>
    <t>Grignard, Arnaud; Tri Nguyen-Huu; Gaudou, Benoit; Doanh Nguyen-Ngoc; Brugiere, Arthur; Tu Dang-Huu; Huynh Quang Nghi; Nguyen Trong Khanh; Larson, Kent</t>
  </si>
  <si>
    <t>CityS cope Hanoi: interactive simulation for water management in the Bac Hung Hai irrigation system</t>
  </si>
  <si>
    <t>2020 12TH INTERNATIONAL CONFERENCE ON KNOWLEDGE AND SYSTEMS ENGINEERING (IEEE KSE 2020)</t>
  </si>
  <si>
    <t>International Conference on Knowledge and Systems Engineering</t>
  </si>
  <si>
    <t>12th International Conference on Knowledge and Systems Engineering (KSE)</t>
  </si>
  <si>
    <t>NOV 12-14, 2020</t>
  </si>
  <si>
    <t>Can Tho, VIETNAM</t>
  </si>
  <si>
    <t>Trong Khanh, NGUYEN/AAD-7912-2022</t>
  </si>
  <si>
    <t>Trong Khanh, NGUYEN/0000-0001-5175-8805</t>
  </si>
  <si>
    <t>2164-2508</t>
  </si>
  <si>
    <t>978-1-7281-4510-5</t>
  </si>
  <si>
    <t>WOS:000687563100026</t>
  </si>
  <si>
    <t>Vaerbak, M; Ma, Z; Christensen, K; Demazeau, Y; Jorgensen, BN</t>
  </si>
  <si>
    <t>Vaerbak, Magnus; Ma, Zheng; Christensen, Kristoffer; Demazeau, Yves; Jorgensen, Bo Norregaard</t>
  </si>
  <si>
    <t>2020 IEEE/SICE INTERNATIONAL SYMPOSIUM ON SYSTEM INTEGRATION (SII)</t>
  </si>
  <si>
    <t>IEEE/SICE International Symposium on System Integration</t>
  </si>
  <si>
    <t>IEEE/SICE International Symposium on System Integration (SII)</t>
  </si>
  <si>
    <t>JAN 12-15, 2020</t>
  </si>
  <si>
    <t>Honolulu, HI</t>
  </si>
  <si>
    <t>2474-2317</t>
  </si>
  <si>
    <t>978-1-7281-6667-4</t>
  </si>
  <si>
    <t>WOS:000565648500156</t>
  </si>
  <si>
    <t>Koutiva, I; Makropoulos, C</t>
  </si>
  <si>
    <t>Koutiva, Ifigeneia; Makropoulos, Christos</t>
  </si>
  <si>
    <t>Exploring the Effects of Alternative Water Demand Management Strategies Using an Agent-Based Model</t>
  </si>
  <si>
    <t>Makropoulos, Christos/AAN-8320-2021</t>
  </si>
  <si>
    <t>Makropoulos, Christos/0000-0003-0308-4265</t>
  </si>
  <si>
    <t>WOS:000502264500018</t>
  </si>
  <si>
    <t>Giri, S; Arbab, NN; Lathrop, RG</t>
  </si>
  <si>
    <t>Giri, Subhasis; Arbab, Nazia N.; Lathrop, Richard G.</t>
  </si>
  <si>
    <t>Assessing the potential impacts of climate and land use change on water fluxes and sediment transport in a loosely coupled system</t>
  </si>
  <si>
    <t>JOURNAL OF HYDROLOGY</t>
  </si>
  <si>
    <t>0022-1694</t>
  </si>
  <si>
    <t>1879-2707</t>
  </si>
  <si>
    <t>OCT</t>
  </si>
  <si>
    <t>10.1016/j.jhydrol.2019.123955</t>
  </si>
  <si>
    <t>WOS:000488304300042</t>
  </si>
  <si>
    <t>Zhu, XH; Dai, Q; Han, DW; Zhuo, L; Zhu, SN; Zhang, SL</t>
  </si>
  <si>
    <t>Zhu, Xuehong; Dai, Qiang; Han, Dawei; Zhuo, Lu; Zhu, Shaonan; Zhang, Shuliang</t>
  </si>
  <si>
    <t>Modeling the high-resolution dynamic exposure to flooding in a city region</t>
  </si>
  <si>
    <t>HYDROLOGY AND EARTH SYSTEM SCIENCES</t>
  </si>
  <si>
    <t>Dai, Qiang/AAD-8728-2020; Zhuo, Lu/AAN-2593-2020</t>
  </si>
  <si>
    <t>Zhuo, Lu/0000-0002-5719-5342</t>
  </si>
  <si>
    <t>1027-5606</t>
  </si>
  <si>
    <t>1607-7938</t>
  </si>
  <si>
    <t>AUG 14</t>
  </si>
  <si>
    <t>10.5194/hess-23-3353-2019</t>
  </si>
  <si>
    <t>WOS:000481688200002</t>
  </si>
  <si>
    <t>Baeza, A; Bojorquez-Tapia, LA; Janssen, MA; Eakin, H</t>
  </si>
  <si>
    <t>Baeza, Andres; Bojorquez-Tapia, Luis A.; Janssen, Marco A.; Eakin, Hallie</t>
  </si>
  <si>
    <t>Operationalizing the feedback between institutional decision-making, socio-political infrastructure, and environmental risk in urban vulnerability analysis</t>
  </si>
  <si>
    <t>JOURNAL OF ENVIRONMENTAL MANAGEMENT</t>
  </si>
  <si>
    <t>Eakin, Hallie/0000-0001-8253-1320; Janssen, Marco/0000-0002-1240-9052</t>
  </si>
  <si>
    <t>0301-4797</t>
  </si>
  <si>
    <t>1095-8630</t>
  </si>
  <si>
    <t>10.1016/j.jenvman.2019.03.138</t>
  </si>
  <si>
    <t>WOS:000469896300041</t>
  </si>
  <si>
    <t>Kang, JY; Aldstadt, J</t>
  </si>
  <si>
    <t>Kang, Jeon-Young; Aldstadt, Jared</t>
  </si>
  <si>
    <t>TROPICAL MEDICINE &amp; INTERNATIONAL HEALTH</t>
  </si>
  <si>
    <t>Aldstadt, Jared/A-8508-2009</t>
  </si>
  <si>
    <t>Aldstadt, Jared/0000-0001-9162-7439; Kang, Jeon-Young/0000-0001-8754-2897</t>
  </si>
  <si>
    <t>1360-2276</t>
  </si>
  <si>
    <t>1365-3156</t>
  </si>
  <si>
    <t>AUG</t>
  </si>
  <si>
    <t>WOS:000474062700001</t>
  </si>
  <si>
    <t>Cheng, K; Wei, S; Fu, Q; Pei, W; Li, TX</t>
  </si>
  <si>
    <t>Cheng, Kun; Wei, Shuai; Fu, Qiang; Pei, Wei; Li, Tianxiao</t>
  </si>
  <si>
    <t>JOURNAL OF HYDROINFORMATICS</t>
  </si>
  <si>
    <t>1464-7141</t>
  </si>
  <si>
    <t>1465-1734</t>
  </si>
  <si>
    <t>MAY</t>
  </si>
  <si>
    <t>WOS:000474791900001</t>
  </si>
  <si>
    <t>Kandiah, VK; Berglund, EZ; Binder, AR</t>
  </si>
  <si>
    <t>Kandiah, Venu K.; Berglund, Emily Z.; Binder, Andrew R.</t>
  </si>
  <si>
    <t>SUSTAINABLE CITIES AND SOCIETY</t>
  </si>
  <si>
    <t>Binder, Andrew/0000-0002-7080-7550</t>
  </si>
  <si>
    <t>2210-6707</t>
  </si>
  <si>
    <t>2210-6715</t>
  </si>
  <si>
    <t>WOS:000460039900022</t>
  </si>
  <si>
    <t>Kazmi, H; Suykens, J; Balint, A; Driesen, J</t>
  </si>
  <si>
    <t>Kazmi, Hussain; Suykens, Johan; Balint, Attila; Driesen, Johan</t>
  </si>
  <si>
    <t>APPLIED ENERGY</t>
  </si>
  <si>
    <t>Driesen, Johan/C-2506-2014; Kazmi, Hussain/ABD-7313-2021; Suykens, Johan/C-9781-2014</t>
  </si>
  <si>
    <t>Driesen, Johan/0000-0002-1025-0949; Kazmi, Hussain/0000-0002-7765-8068; Suykens, Johan/0000-0002-8846-6352</t>
  </si>
  <si>
    <t>0306-2619</t>
  </si>
  <si>
    <t>1872-9118</t>
  </si>
  <si>
    <t>WOS:000461262300075</t>
  </si>
  <si>
    <t>Zozmann, H; Klassert, C; Sigel, K; Gawel, E; Klauer, B</t>
  </si>
  <si>
    <t>Zozmann, Heinrich; Klassert, Christian; Sigel, Katja; Gawel, Erik; Klauer, Bernd</t>
  </si>
  <si>
    <t>Commercial Tanker Water Demand in Amman, JordanA Spatial Simulation Model of Water Consumption Decisions under Intermittent Network Supply</t>
  </si>
  <si>
    <t>WOS:000460899600073</t>
  </si>
  <si>
    <t>Ding, K; Gilligan, JM; Hornberger, GM</t>
  </si>
  <si>
    <t>Ding, Ke; Gilligan, Jonathan M.; Hornberger, George M.</t>
  </si>
  <si>
    <t>AVOIDING DAY-ZERO: A TESTBED FOR EVALUATING INTEGRATED FOOD-ENERGY-WATER MANAGEMENT IN CAPE TOWN, SOUTH AFRICA</t>
  </si>
  <si>
    <t>2019 WINTER SIMULATION CONFERENCE (WSC)</t>
  </si>
  <si>
    <t>Winter Simulation Conference Proceedings</t>
  </si>
  <si>
    <t>Winter Simulation Conference (WSC)</t>
  </si>
  <si>
    <t>DEC 08-11, 2019</t>
  </si>
  <si>
    <t>National Harbor, MD</t>
  </si>
  <si>
    <t>Gilligan, Jonathan/AAZ-5377-2021</t>
  </si>
  <si>
    <t>Gilligan, Jonathan/0000-0003-1375-6686; Ding, Ke/0000-0002-2396-2144</t>
  </si>
  <si>
    <t>0891-7736</t>
  </si>
  <si>
    <t>978-1-7281-3283-9</t>
  </si>
  <si>
    <t>WOS:000529791400068</t>
  </si>
  <si>
    <t>Tourigny, A; Filion, Y</t>
  </si>
  <si>
    <t>Tourigny, Alexandre; Filion, Y.</t>
  </si>
  <si>
    <t>Sensitivity Analysis of an Agent-Based Model Used to Simulate the Spread of Low-Flow Fixtures for Residential Water Conservation and Evaluate Energy Savings in a Canadian Water Distribution System</t>
  </si>
  <si>
    <t>JAN</t>
  </si>
  <si>
    <t>10.1061/(ASCE)WR.1943-5452.0001015</t>
  </si>
  <si>
    <t>WOS:000450405500005</t>
  </si>
  <si>
    <t>Al-Amin, S; Berglund, EZ; Mahinthakumar, G; Larson, KL</t>
  </si>
  <si>
    <t>Al-Amin, Shams; Berglund, Emily Z.; Mahinthakumar, G.; Larson, Kelli L.</t>
  </si>
  <si>
    <t>WOS:000449901100066</t>
  </si>
  <si>
    <t>Alderton, S; Macleod, ET; Anderson, NE; Machila, N; Simuunza, M; Welburn, SC; Atkinson, PM</t>
  </si>
  <si>
    <t>Alderton, Simon; Macleod, Ewan T.; Anderson, Neil E.; Machila, Noreen; Simuunza, Martin; Welburn, Susan C.; Atkinson, Peter M.</t>
  </si>
  <si>
    <t>Exploring the effect of human and animal population growth on vector-borne disease transmission with an agent-based model of Rhodesian human African trypanosomiasis in eastern province, Zambia</t>
  </si>
  <si>
    <t>PLOS NEGLECTED TROPICAL DISEASES</t>
  </si>
  <si>
    <t>1935-2735</t>
  </si>
  <si>
    <t>e0006905</t>
  </si>
  <si>
    <t>10.1371/journal.pntd.0006905</t>
  </si>
  <si>
    <t>WOS:000452162500033</t>
  </si>
  <si>
    <t>Deng, CY; Wang, HR; Zhang, WG; Jiao, ZQ</t>
  </si>
  <si>
    <t>Deng, Caiyun; Wang, Hongrui; Zhang, Weiguang; Jiao, Zhiqian</t>
  </si>
  <si>
    <t>Optimizing Policy for Balanced Industrial Profit and Water Pollution Control under a Complex Socioecological System Using a Multiagent-Based Model</t>
  </si>
  <si>
    <t>Wang, Hongrui/0000-0002-4801-2786</t>
  </si>
  <si>
    <t>WOS:000448821900031</t>
  </si>
  <si>
    <t>Rasoulkhani, K; Logasa, B; Reyes, MP; Mostafavi, A</t>
  </si>
  <si>
    <t>Rasoulkhani, Kambiz; Logasa, Brianne; Reyes, Maria Presa; Mostafavi, Ali</t>
  </si>
  <si>
    <t>Understanding Fundamental Phenomena Affecting the Water Conservation Technology Adoption of Residential Consumers Using Agent-Based Modeling</t>
  </si>
  <si>
    <t>Rasoulkhani, Kambiz/AAE-3027-2019</t>
  </si>
  <si>
    <t>Rasoulkhani, Kambiz/0000-0002-6694-0201</t>
  </si>
  <si>
    <t>WOS:000448462700027</t>
  </si>
  <si>
    <t>Castonguay, AC; Urich, C; Iftekhar, MS; Deletic, A</t>
  </si>
  <si>
    <t>Castonguay, Adam C.; Urich, Christian; Iftekhar, Md Sayed; Deletic, Ana</t>
  </si>
  <si>
    <t>ENVIRONMENTAL MODELLING &amp; SOFTWARE</t>
  </si>
  <si>
    <t>1364-8152</t>
  </si>
  <si>
    <t>1873-6726</t>
  </si>
  <si>
    <t>WOS:000434465900019</t>
  </si>
  <si>
    <t>Zhu, JX; Dai, Q; Deng, YH; Zhang, AR; Zhang, YZ; Zhang, SL</t>
  </si>
  <si>
    <t>Zhu, Jingxuan; Dai, Qiang; Deng, Yinghui; Zhang, Aorui; Zhang, Yingzhe; Zhang, Shuliang</t>
  </si>
  <si>
    <t>Indirect Damage of Urban Flooding: Investigation of Flood-Induced Traffic Congestion Using Dynamic Modeling</t>
  </si>
  <si>
    <t>Dai, Qiang/AAD-8728-2020</t>
  </si>
  <si>
    <t>10.3390/w10050622</t>
  </si>
  <si>
    <t>WOS:000435196700088</t>
  </si>
  <si>
    <t>Baeza, A; Janssen, MA</t>
  </si>
  <si>
    <t>Baeza, Andres; Janssen, Marco A.</t>
  </si>
  <si>
    <t>REGIONAL ENVIRONMENTAL CHANGE</t>
  </si>
  <si>
    <t>Baeza, Andres/0000-0003-0776-951X</t>
  </si>
  <si>
    <t>1436-3798</t>
  </si>
  <si>
    <t>1436-378X</t>
  </si>
  <si>
    <t>SI</t>
  </si>
  <si>
    <t>WOS:000429358700019</t>
  </si>
  <si>
    <t>Wang, HH; Zhang, JR; Zeng, WH</t>
  </si>
  <si>
    <t>Wang, Huihui; Zhang, Jiarui; Zeng, Weihua</t>
  </si>
  <si>
    <t>Intelligent simulation of aquatic environment economic policy coupled ABM and SD models</t>
  </si>
  <si>
    <t>10.1016/j.scitotenv.2017.09.184</t>
  </si>
  <si>
    <t>WOS:000424130500120</t>
  </si>
  <si>
    <t>Kazmi, H; Suykens, J; Driesen, J</t>
  </si>
  <si>
    <t>ACM</t>
  </si>
  <si>
    <t>Kazmi, Hussain; Suykens, Johan; Driesen, Johan</t>
  </si>
  <si>
    <t>Valuing Knowledge, Information and Agency in Multi-agent Reinforcement Learning: A Case Study in Smart Buildings</t>
  </si>
  <si>
    <t>PROCEEDINGS OF THE 17TH INTERNATIONAL CONFERENCE ON AUTONOMOUS AGENTS AND MULTIAGENT SYSTEMS (AAMAS' 18)</t>
  </si>
  <si>
    <t>17th International Conference on Autonomous Agents and MultiAgent Systems (AAMAS)</t>
  </si>
  <si>
    <t>JUL 10-15, 2018</t>
  </si>
  <si>
    <t>Stockholm, SWEDEN</t>
  </si>
  <si>
    <t>978-1-4503-5649-7</t>
  </si>
  <si>
    <t>WOS:000468231300072</t>
  </si>
  <si>
    <t>Darbandsari, P; Kerachian, R; Malakpour-Estalaki, S</t>
  </si>
  <si>
    <t>Darbandsari, Pedram; Kerachian, Reza; Malakpour-Estalaki, Siamak</t>
  </si>
  <si>
    <t>SIMULATION MODELLING PRACTICE AND THEORY</t>
  </si>
  <si>
    <t>Darbandsari, Pedram/AAV-3921-2020; Kerachian, Reza/K-4117-2013</t>
  </si>
  <si>
    <t>Darbandsari, Pedram/0000-0002-7139-8269; Kerachian, Reza/0000-0002-6284-1062; Malakpour Estalaki, Siamak/0000-0001-9820-0657</t>
  </si>
  <si>
    <t>1569-190X</t>
  </si>
  <si>
    <t>1878-1462</t>
  </si>
  <si>
    <t>WOS:000412256300004</t>
  </si>
  <si>
    <t>Jenkins, K; Surminski, S; Hall, J; Crick, F</t>
  </si>
  <si>
    <t>Jenkins, K.; Surminski, S.; Hall, J.; Crick, F.</t>
  </si>
  <si>
    <t>Assessing surface water flood risk and management strategies under future climate change: Insights from an Agent-Based Model</t>
  </si>
  <si>
    <t>Hall, Jim W/ABF-1407-2020</t>
  </si>
  <si>
    <t>10.1016/j.scitotenv.2017.03.242</t>
  </si>
  <si>
    <t>WOS:000401556800018</t>
  </si>
  <si>
    <t>Kandiah, V; Binder, AR; Berglund, EZ</t>
  </si>
  <si>
    <t>Kandiah, Venu; Binder, Andrew R.; Berglund, Emily Z.</t>
  </si>
  <si>
    <t>RISK ANALYSIS</t>
  </si>
  <si>
    <t>0272-4332</t>
  </si>
  <si>
    <t>1539-6924</t>
  </si>
  <si>
    <t>WOS:000412327600014</t>
  </si>
  <si>
    <t>Faust, KM; Abraham, DM; DeLaurentis, D</t>
  </si>
  <si>
    <t>Faust, Kasey M.; Abraham, Dulcy M.; DeLaurentis, Daniel</t>
  </si>
  <si>
    <t>Coupled Human and Water Infrastructure Systems Sector Interdependencies: Framework Evaluating the Impact of Cities Experiencing Urban Decline</t>
  </si>
  <si>
    <t>Faust, Kasey/AAT-2629-2021</t>
  </si>
  <si>
    <t>Faust, Kasey/0000-0001-7986-4757</t>
  </si>
  <si>
    <t>WOS:000408561900019</t>
  </si>
  <si>
    <t>Nandi, A; Megiddo, I; Ashok, A; Verma, A; Laxminarayan, R</t>
  </si>
  <si>
    <t>Nandi, Arindam; Megiddo, Itamar; Ashok, Ashvin; Verma, Amit; Laxminarayan, Ramanan</t>
  </si>
  <si>
    <t>Reduced burden of childhood diarrheal diseases through increased access to water and sanitation in India: A modeling analysis</t>
  </si>
  <si>
    <t>SOCIAL SCIENCE &amp; MEDICINE</t>
  </si>
  <si>
    <t>Megiddo, Itamar/AAB-9016-2019; Laxminarayan, Ramanan/ABD-5050-2021; Megiddo, Itamar/N-9839-2015</t>
  </si>
  <si>
    <t>0277-9536</t>
  </si>
  <si>
    <t>10.1016/j.socscimed.2016.08.049</t>
  </si>
  <si>
    <t>WOS:000400216500021</t>
  </si>
  <si>
    <t>Yuan, CC; Liu, LM; Ye, JW; Ren, GP; Zhuo, D; Qi, XX</t>
  </si>
  <si>
    <t>Yuan, Chengcheng; Liu, Liming; Ye, Jinwei; Ren, Guoping; Zhuo, Dong; Qi, Xiaoxing</t>
  </si>
  <si>
    <t>Assessing the effects of rural livelihood transition on non-point source pollution: a coupled ABM-IECM model</t>
  </si>
  <si>
    <t>ENVIRONMENTAL SCIENCE AND POLLUTION RESEARCH</t>
  </si>
  <si>
    <t>0944-1344</t>
  </si>
  <si>
    <t>1614-7499</t>
  </si>
  <si>
    <t>10.1007/s11356-017-8812-0</t>
  </si>
  <si>
    <t>WOS:000400765900040</t>
  </si>
  <si>
    <t>WATER SCIENCE AND TECHNOLOGY-WATER SUPPLY</t>
  </si>
  <si>
    <t>Makropoulos, Christos/0000-0003-0308-4265; Koutiva, Ifigeneia/0000-0003-1462-0422</t>
  </si>
  <si>
    <t>1606-9749</t>
  </si>
  <si>
    <t>MAR</t>
  </si>
  <si>
    <t>WOS:000398000000023</t>
  </si>
  <si>
    <t>van der Veen, RAC; Kisjes, KH; Nikolic, I</t>
  </si>
  <si>
    <t>van der Veen, R. A. C.; Kisjes, K. H.; Nikolic, I.</t>
  </si>
  <si>
    <t>Nikolic, Igor/D-6080-2011</t>
  </si>
  <si>
    <t>Nikolic, Igor/0000-0002-6002-7083</t>
  </si>
  <si>
    <t>MAR 1</t>
  </si>
  <si>
    <t>WOS:000394062300001</t>
  </si>
  <si>
    <t>Ali, AM; Shafiee, ME; Berglund, EZ</t>
  </si>
  <si>
    <t>Ali, Alireza Mashhadi; Shafiee, M. Ehsan; Berglund, Emily Zechman</t>
  </si>
  <si>
    <t>Parween, Shama/AFQ-4232-2022</t>
  </si>
  <si>
    <t>WOS:000389322700039</t>
  </si>
  <si>
    <t>Espinosa, LAD; Almassalkhi, M; Hines, P; Frolik, J</t>
  </si>
  <si>
    <t>Duffaut Espinosa, Luis A.; Almassalkhi, Mads; Hines, Paul; Frolik, Jeff</t>
  </si>
  <si>
    <t>Aggregate Modeling and Coordination of Diverse Energy Resources Under Packetized Energy Management</t>
  </si>
  <si>
    <t>2017 IEEE 56TH ANNUAL CONFERENCE ON DECISION AND CONTROL (CDC)</t>
  </si>
  <si>
    <t>IEEE Conference on Decision and Control</t>
  </si>
  <si>
    <t>56th Annual IEEE Conference on Decision and Control (CDC)</t>
  </si>
  <si>
    <t>DEC 12-15, 2017</t>
  </si>
  <si>
    <t>Melbourne, AUSTRALIA</t>
  </si>
  <si>
    <t>Almassaklhi, Mads/X-8049-2019</t>
  </si>
  <si>
    <t>Duffaut Espinosa, Luis/0000-0003-4363-5375</t>
  </si>
  <si>
    <t>0743-1546</t>
  </si>
  <si>
    <t>978-1-5090-2873-3</t>
  </si>
  <si>
    <t>WOS:000424696901067</t>
  </si>
  <si>
    <t>Li, GJ; Wang, YS; Huang, DH; Yang, HT</t>
  </si>
  <si>
    <t>Li Guijun; Wang Yongsheng; Huang Daohan; Yang Hongtao</t>
  </si>
  <si>
    <t>A Multi-Agent Model for Urban Water-Energy-Food Sustainable Development Simulation</t>
  </si>
  <si>
    <t>PROCEEDINGS OF 2017 2ND INTERNATIONAL CONFERENCE ON CROWD SCIENCE AND ENGINEERING ICCSE 2017</t>
  </si>
  <si>
    <t>2nd International Conference on Crowd Science and Engineering (ICCSE) - Smart and Crowd</t>
  </si>
  <si>
    <t>JUL 06-09, 2017</t>
  </si>
  <si>
    <t>Tsinghua Univ, Beijing, PEOPLES R CHINA</t>
  </si>
  <si>
    <t>Tsinghua Univ</t>
  </si>
  <si>
    <t>Li, Guijun/AAZ-6202-2021</t>
  </si>
  <si>
    <t>978-1-4503-5375-5</t>
  </si>
  <si>
    <t>WOS:000426574900018</t>
  </si>
  <si>
    <t>Chan, V; DAmbrogio, A; Zacharewicz, G; Mustafee, N</t>
  </si>
  <si>
    <t>AGENT-BASED MODELING FRAMEWORK FOR SIMULATION OF COMPLEX ADAPTIVE MECHANISMS UNDERLYING HOUSEHOLD WATER CONSERVATION TECHNOLOGY ADOPTION</t>
  </si>
  <si>
    <t>2017 WINTER SIMULATION CONFERENCE (WSC)</t>
  </si>
  <si>
    <t>DEC 03-06, 2017</t>
  </si>
  <si>
    <t>Las Vegas, NV</t>
  </si>
  <si>
    <t>978-1-5386-3428-8</t>
  </si>
  <si>
    <t>WOS:000427768601025</t>
  </si>
  <si>
    <t>WOS:000374602000004</t>
  </si>
  <si>
    <t>Al-Amin, S; Berglund, EZ; Mahinthakumar, K</t>
  </si>
  <si>
    <t>Pathak, CS; Reinhart, D</t>
  </si>
  <si>
    <t>Al-Amin, Shams; Berglund, Emily Z.; Mahinthakumar, Kumar</t>
  </si>
  <si>
    <t>WORLD ENVIRONMENTAL AND WATER RESOURCES CONGRESS 2016: WATERSHED MANAGEMENT, IRRIGATION AND DRAINAGE, AND WATER RESOURCES PLANNING AND MANAGEMENT</t>
  </si>
  <si>
    <t>16th Annual World Environmental and Water Resources Congress of the Environmental-and-Water-Resources-Institute (EWRI)</t>
  </si>
  <si>
    <t>MAY 22-26, 2016</t>
  </si>
  <si>
    <t>Amer Soc Civil Engineers, West Palm Beach, FL</t>
  </si>
  <si>
    <t>Amer Soc Civil Engineers, Environm &amp; Water Resources Inst</t>
  </si>
  <si>
    <t>Amer Soc Civil Engineers</t>
  </si>
  <si>
    <t>978-0-7844-7985-8</t>
  </si>
  <si>
    <t>WOS:000400186900016</t>
  </si>
  <si>
    <t>Bannwarth, MA; Grovermann, C; Schreinemachers, P; Ingwersen, J; Lamers, M; Berger, T; Streck, T</t>
  </si>
  <si>
    <t>Bannwarth, M. A.; Grovermann, C.; Schreinemachers, P.; Ingwersen, J.; Lamers, M.; Berger, T.; Streck, T.</t>
  </si>
  <si>
    <t>Non-hazardous pesticide concentrations in surface waters: An integrated approach simulating application thresholds and resulting farm income effects</t>
  </si>
  <si>
    <t>JAN 1</t>
  </si>
  <si>
    <t>10.1016/j.jenvman.2014.12.001</t>
  </si>
  <si>
    <t>WOS:000364613200034</t>
  </si>
  <si>
    <t>Chaib, A; Imen, B; Allaoua, C</t>
  </si>
  <si>
    <t>Chikhi, S; Amine, A; Chaoui, A; Kholladi, MK; Saidouni, DE</t>
  </si>
  <si>
    <t>Chaib, Aouatef; Imen, Boussebough; Allaoua, Chaoui</t>
  </si>
  <si>
    <t>MODELLING AND IMPLEMENTATION OF COMPLEX SYSTEMS, MISC 2016</t>
  </si>
  <si>
    <t>4th International Symposium on Modelling and Implementation of Complex Systems (MISC)</t>
  </si>
  <si>
    <t>MAY 07-08, 2016</t>
  </si>
  <si>
    <t>Constantine, ALGERIA</t>
  </si>
  <si>
    <t>Univ Constantine 2 Abdelhamid Mehri</t>
  </si>
  <si>
    <t>2367-3370</t>
  </si>
  <si>
    <t>2367-3389</t>
  </si>
  <si>
    <t>978-3-319-33410-3; 978-3-319-33409-7</t>
  </si>
  <si>
    <t>WOS:000385237500014</t>
  </si>
  <si>
    <t>Faust, KM; Abraham, DM</t>
  </si>
  <si>
    <t>Perdomo-Rivera, JL; Gonzalez-Quevedo, A; Lopez DelPuerto, C; Maldonado-Fortunet, F; Molina-Bas, OI</t>
  </si>
  <si>
    <t>Faust, Kasey M.; Abraham, Dulcy M.</t>
  </si>
  <si>
    <t>CONSTRUCTION RESEARCH CONGRESS 2016: OLD AND NEW CONSTRUCTION TECHNOLOGIES CONVERGE IN HISTORIC SAN JUAN</t>
  </si>
  <si>
    <t>Construction Research Congress</t>
  </si>
  <si>
    <t>MAY 31-JUN 02, 2016</t>
  </si>
  <si>
    <t>Univ Puerto Rico Mayaguez, Dept Civil Engn &amp; Surveying, Construct Engn &amp; M, San Juan, PR</t>
  </si>
  <si>
    <t>Amer Soc Civil Engineers, Construct Inst, Construct Res Council</t>
  </si>
  <si>
    <t>Univ Puerto Rico Mayaguez, Dept Civil Engn &amp; Surveying, Construct Engn &amp; M</t>
  </si>
  <si>
    <t>978-0-7844-7982-7</t>
  </si>
  <si>
    <t>WOS:000389279903001</t>
  </si>
  <si>
    <t>Kamara-Esteban, O; Sorrosal, G; Pijoan, A; Castillo-Calzadilla, T; Iriarte-Lopez, X; Macarulla-Arenaza, AM; Martin, C; Alonso-Vicario, A; Borges, CE</t>
  </si>
  <si>
    <t>ElBaz, D; Bourgeois, J</t>
  </si>
  <si>
    <t>Kamara-Esteban, Oihane; Sorrosal, Gorka; Pijoan, Ander; Castillo-Calzadilla, Tony; Iriarte-Lopez, Xabier; Macarulla-Arenaza, Ana M.; Martin, Cristina; Alonso-Vicario, Ainhoa; Borges, Cruz E.</t>
  </si>
  <si>
    <t>Bridging the Gap between Real and Simulated Environments: a Hybrid Agent-Based Smart Home Simulator Architecture for Complex Systems</t>
  </si>
  <si>
    <t>2016 INT IEEE CONFERENCES ON UBIQUITOUS INTELLIGENCE &amp; COMPUTING, ADVANCED &amp; TRUSTED COMPUTING, SCALABLE COMPUTING AND COMMUNICATIONS, CLOUD AND BIG DATA COMPUTING, INTERNET OF PEOPLE, AND SMART WORLD CONGRESS (UIC/ATC/SCALCOM/CBDCOM/IOP/SMARTWORLD)</t>
  </si>
  <si>
    <t>Conference on UIC/ATC/ScalCom/CBDCom/IoP/SmartWorld</t>
  </si>
  <si>
    <t>JUL 18-21, 2016</t>
  </si>
  <si>
    <t>Toulouse, FRANCE</t>
  </si>
  <si>
    <t>978-1-5090-2771-2</t>
  </si>
  <si>
    <t>10.1109/UIC-ATC-ScalCom-CBDCom-IoP-SmartWorld.2016.116</t>
  </si>
  <si>
    <t>WOS:000393306500029</t>
  </si>
  <si>
    <t>Ramsey, E</t>
  </si>
  <si>
    <t>Ramsey, Elizabeth</t>
  </si>
  <si>
    <t>Use of a Household Survey in the Development of an Agent-Based Model to Support Water Demand Management in Jaipur, India</t>
  </si>
  <si>
    <t>WORLD ENVIRONMENTAL AND WATER RESOURCES CONGRESS 2016: PROFESSIONAL DEVELOPMENT, INNOVATIVE TECHNOLOGY, INTERNATIONAL PERSPECTIVES, AND HISTORY AND HERITAGE</t>
  </si>
  <si>
    <t>978-0-7844-7984-1</t>
  </si>
  <si>
    <t>WOS:000400170800019</t>
  </si>
  <si>
    <t>Giacomoni, MH; Berglund, EZ</t>
  </si>
  <si>
    <t>Giacomoni, M. H.; Berglund, E. Z.</t>
  </si>
  <si>
    <t>Complex Adaptive Modeling Framework for Evaluating Adaptive Demand Management for Urban Water Resources Sustainability</t>
  </si>
  <si>
    <t>Giacomoni, Marcio Hofheinz/AFZ-0449-2022</t>
  </si>
  <si>
    <t>Giacomoni, Marcio Hofheinz/0000-0001-7027-4128</t>
  </si>
  <si>
    <t>WOS:000363089500005</t>
  </si>
  <si>
    <t>Alderton, S; Noble, J; Schaten, K; Welburn, SC; Atkinson, PM</t>
  </si>
  <si>
    <t>Alderton, Simon; Noble, Jason; Schaten, Kathrin; Welburn, Susan C.; Atkinson, Peter M.</t>
  </si>
  <si>
    <t>Exploiting Human Resource Requirements to Infer Human Movement Patterns for Use in Modelling Disease Transmission Systems: An Example from Eastern Province, Zambia</t>
  </si>
  <si>
    <t>PLOS ONE</t>
  </si>
  <si>
    <t>1932-6203</t>
  </si>
  <si>
    <t>SEP 30</t>
  </si>
  <si>
    <t>e0139505</t>
  </si>
  <si>
    <t>10.1371/journal.pone.0139505</t>
  </si>
  <si>
    <t>WOS:000362175700124</t>
  </si>
  <si>
    <t>Klassert, C; Sigel, K; Gawel, E; Klauer, B</t>
  </si>
  <si>
    <t>Klassert, Christian; Sigel, Katja; Gawel, Erik; Klauer, Bernd</t>
  </si>
  <si>
    <t>Modeling Residential Water Consumption in Amman: The Role of Intermittency, Storage, and Pricing for Piped and Tanker Water</t>
  </si>
  <si>
    <t>Klauer, Bernd/A-6304-2012; Klassert, Christian/AAR-5144-2021</t>
  </si>
  <si>
    <t>Klauer, Bernd/0000-0003-3484-2903; Klassert, Christian/0000-0003-0676-2455</t>
  </si>
  <si>
    <t>WOS:000359898800023</t>
  </si>
  <si>
    <t>Al-Amin, S; Berglund, EZ; Larson, KL</t>
  </si>
  <si>
    <t>Karvazy, K; Webster, VL</t>
  </si>
  <si>
    <t>Al-Amin, Shams; Berglund, Emily Z.; Larson, Kelli L.</t>
  </si>
  <si>
    <t>WORLD ENVIRONMENTAL AND WATER RESOURCES CONGRESS 2015: FLOODS, DROUGHTS, AND ECOSYSTEMS</t>
  </si>
  <si>
    <t>World Environmental and Water Resources Congress</t>
  </si>
  <si>
    <t>MAY 17-21, 2015</t>
  </si>
  <si>
    <t>Austin, TX</t>
  </si>
  <si>
    <t>Amer Soc Civil Engineers, Environm and Water Resources Inst</t>
  </si>
  <si>
    <t>978-0-7844-7916-2</t>
  </si>
  <si>
    <t>WOS:000392856300203</t>
  </si>
  <si>
    <t>Roche, R; Suryanarayanan, S; Hansen, TM; Kiliccote, S; Miraoui, A</t>
  </si>
  <si>
    <t>Roche, Robin; Suryanarayanan, Siddharth; Hansen, Timothy M.; Kiliccote, Sila; Miraoui, Abdellatif</t>
  </si>
  <si>
    <t>A Multi-Agent Model and Strategy for Residential Demand Response Coordination</t>
  </si>
  <si>
    <t>2015 IEEE EINDHOVEN POWERTECH</t>
  </si>
  <si>
    <t>PowerTech, 2015 IEEE Eindhoven</t>
  </si>
  <si>
    <t>JUN 29-JUL 02, 2015</t>
  </si>
  <si>
    <t>Eindhoven, NETHERLANDS</t>
  </si>
  <si>
    <t>Roche, Robin/A-8267-2013; Suryanarayanan, Siddharth/C-5168-2009</t>
  </si>
  <si>
    <t>Roche, Robin/0000-0003-0747-4148; Suryanarayanan, Siddharth/0000-0002-9509-6927</t>
  </si>
  <si>
    <t>978-1-4799-7695-9</t>
  </si>
  <si>
    <t>WOS:000380546800035</t>
  </si>
  <si>
    <t>Yuan, XC; Wei, YM; Pan, SY; Jin, JL</t>
  </si>
  <si>
    <t>Yuan, Xiao-Chen; Wei, Yi-Ming; Pan, Su-Yan; Jin, Ju-Liang</t>
  </si>
  <si>
    <t>WATER RESOURCES MANAGEMENT</t>
  </si>
  <si>
    <t>Yuan, Xiao-Chen/0000-0003-1925-2550</t>
  </si>
  <si>
    <t>0920-4741</t>
  </si>
  <si>
    <t>1573-1650</t>
  </si>
  <si>
    <t>WOS:000338651100016</t>
  </si>
  <si>
    <t>Varga, L; Grubic, T; Greening, P; Varga, S; Camci, F; Dolan, T</t>
  </si>
  <si>
    <t>Varga, Liz; Grubic, Tonci; Greening, Philip; Varga, Stephen; Camci, Fatih; Dolan, Tom</t>
  </si>
  <si>
    <t>Characterizing Conversion Points and Complex Infrastructure Systems: Creating a System Representation for Agent-Based Modeling</t>
  </si>
  <si>
    <t>COMPLEXITY</t>
  </si>
  <si>
    <t>1076-2787</t>
  </si>
  <si>
    <t>1099-0526</t>
  </si>
  <si>
    <t>JUL-AUG</t>
  </si>
  <si>
    <t>WOS:000339548700004</t>
  </si>
  <si>
    <t>Hung, MF; Shaw, D; Chie, BT</t>
  </si>
  <si>
    <t>Hung, Ming-Feng; Shaw, Daigee; Chie, Bin-Tzong</t>
  </si>
  <si>
    <t>Water Trading: Locational Water Rights, Economic Efficiency, and Third-Party Effect</t>
  </si>
  <si>
    <t>Shaw, Daigee/0000-0002-5781-0296</t>
  </si>
  <si>
    <t>WOS:000335896000015</t>
  </si>
  <si>
    <t>Mellor, J; Abebe, L; Ehdaie, B; Dillingham, R; Smith, J</t>
  </si>
  <si>
    <t>Mellor, Jonathan; Abebe, Lydia; Ehdaie, Beeta; Dillingham, Rebecca; Smith, James</t>
  </si>
  <si>
    <t>WATER RESEARCH</t>
  </si>
  <si>
    <t>Mellor, Jonathan/L-9280-2013</t>
  </si>
  <si>
    <t>Mellor, Jonathan/0000-0002-9270-0690</t>
  </si>
  <si>
    <t>0043-1354</t>
  </si>
  <si>
    <t>FEB 1</t>
  </si>
  <si>
    <t>WOS:000330601400026</t>
  </si>
  <si>
    <t>Yang, SS; Qu, HJ; Luan, SJ; Kroeze, C</t>
  </si>
  <si>
    <t>Yang, Shunshun; Qu, Hongjuan; Luan, Shengji; Kroeze, Carolien</t>
  </si>
  <si>
    <t>JOURNAL OF INTEGRATIVE ENVIRONMENTAL SCIENCES</t>
  </si>
  <si>
    <t>Kroeze, Carolien/C-6938-2014</t>
  </si>
  <si>
    <t>Kroeze, Carolien/0000-0002-8954-6629</t>
  </si>
  <si>
    <t>1943-815X</t>
  </si>
  <si>
    <t>1943-8168</t>
  </si>
  <si>
    <t>JAN 2</t>
  </si>
  <si>
    <t>WOS:000334158400002</t>
  </si>
  <si>
    <t>Ozik, J; Collier, N; Murphy, JT; Lammers, RB; Prusevich, AA; Altaweel, M; Kliskey, A; Alessa, L</t>
  </si>
  <si>
    <t>Tolk, A; Yilmaz, L; Diallo, SY; Ryzhov, IO</t>
  </si>
  <si>
    <t>Ozik, Jonathan; Collier, Nicholson; Murphy, John T.; Lammers, Richard B.; Prusevich, Alexander A.; Altaweel, Mark; Kliskey, Andrew; Alessa, Lilian</t>
  </si>
  <si>
    <t>SIMULATING WATER, INDIVIDUALS, AND MANAGEMENT USING A COUPLED AND DISTRIBUTED APPROACH</t>
  </si>
  <si>
    <t>PROCEEDINGS OF THE 2014 WINTER SIMULATION CONFERENCE (WSC)</t>
  </si>
  <si>
    <t>Winter Simulation Conference</t>
  </si>
  <si>
    <t>DEC 07-10, 2014</t>
  </si>
  <si>
    <t>Savannah, GA</t>
  </si>
  <si>
    <t>Alessa, Lilian/AAA-6518-2020</t>
  </si>
  <si>
    <t>978-1-4799-7486-3</t>
  </si>
  <si>
    <t>WOS:000389248201036</t>
  </si>
  <si>
    <t>Wang, GL; Yang, K; Liu, T; Yang, YL; Xu, QL; Zhu, YH</t>
  </si>
  <si>
    <t>Hu, S; Ye, X</t>
  </si>
  <si>
    <t>Wang, Guilin; Yang, Kun; Liu, Tao; Yang, Yulian; Xu, Quanli; Zhu, Yanhui</t>
  </si>
  <si>
    <t>MAS/LUCC Model Simulate Land Use Change in Erhai Lake Basin Based on Ant Colony Algorithm</t>
  </si>
  <si>
    <t>2014 22ND INTERNATIONAL CONFERENCE ON GEOINFORMATICS (GEOINFORMATICS 2014)</t>
  </si>
  <si>
    <t>International Conference on Geoinformatics</t>
  </si>
  <si>
    <t>22nd International Conference on Geoinformatics (GeoInformatics)</t>
  </si>
  <si>
    <t>JUN 25-27, 2014</t>
  </si>
  <si>
    <t>Taiwan Geog Informat Syst Ctr, Kaohsiung, TAIWAN</t>
  </si>
  <si>
    <t>Taiwan Geog Informat Syst Ctr</t>
  </si>
  <si>
    <t>2161-024X</t>
  </si>
  <si>
    <t>978-1-4799-5714-9</t>
  </si>
  <si>
    <t>WOS:000358415900001</t>
  </si>
  <si>
    <t>Lu, ZM; Noonan, D; Crittenden, J; Jeong, H; Wang, DL</t>
  </si>
  <si>
    <t>Lu, Zhongming; Noonan, Douglas; Crittenden, John; Jeong, Hyunju; Wang, Dali</t>
  </si>
  <si>
    <t>Use of Impact Fees To Incentivize Low-Impact Development and Promote Compact Growth</t>
  </si>
  <si>
    <t>ENVIRONMENTAL SCIENCE &amp; TECHNOLOGY</t>
  </si>
  <si>
    <t>0013-936X</t>
  </si>
  <si>
    <t>1520-5851</t>
  </si>
  <si>
    <t>10.1021/es304924w</t>
  </si>
  <si>
    <t>WOS:000330094900005</t>
  </si>
  <si>
    <t>Giacomoni, MH; Kanta, L; Zechman, EM</t>
  </si>
  <si>
    <t>Giacomoni, M. H.; Kanta, L.; Zechman, E. M.</t>
  </si>
  <si>
    <t>Complex Adaptive Systems Approach to Simulate the Sustainability of Water Resources and Urbanization</t>
  </si>
  <si>
    <t>Giacomoni, Marcio Hofheinz/AFZ-0449-2022; Parween, Shama/AFQ-4232-2022</t>
  </si>
  <si>
    <t xml:space="preserve">Giacomoni, Marcio Hofheinz/0000-0001-7027-4128; </t>
  </si>
  <si>
    <t>WOS:000330518500011</t>
  </si>
  <si>
    <t>Linkola, L; Andrews, CJ; Schuetze, T</t>
  </si>
  <si>
    <t>Linkola, Lilli; Andrews, Clinton J.; Schuetze, Thorsten</t>
  </si>
  <si>
    <t>An Agent Based Model of Household Water Use</t>
  </si>
  <si>
    <t>WOS:000330517800011</t>
  </si>
  <si>
    <t>Marohn, C; Schreinemachers, P; Quang, DV; Berger, T; Siripalangkanont, P; Nguyen, TT; Cadisch, G</t>
  </si>
  <si>
    <t>Marohn, Carsten; Schreinemachers, Pepijn; Dang Viet Quang; Berger, Thomas; Siripalangkanont, Prakit; Thanh Thi Nguyen; Cadisch, Georg</t>
  </si>
  <si>
    <t>A software coupling approach to assess low-cost soil conservation strategies for highland agriculture in Vietnam</t>
  </si>
  <si>
    <t>Nguyen, Thanh Thi/AAS-7508-2021</t>
  </si>
  <si>
    <t>10.1016/j.envsoft.2012.03.020</t>
  </si>
  <si>
    <t>WOS:000320685400010</t>
  </si>
  <si>
    <t>Hung, MF; Chie, BT</t>
  </si>
  <si>
    <t>Hung, Ming-Feng; Chie, Bin-Tzong</t>
  </si>
  <si>
    <t>WOS:000312731300017</t>
  </si>
  <si>
    <t>Mellor, JE; Smith, JA; Learmonth, GP; Netshandama, VO; Dillingham, RA</t>
  </si>
  <si>
    <t>Mellor, Jonathan E.; Smith, James A.; Learmonth, Gerard P.; Netshandama, Vhonani O.; Dillingham, Rebecca A.</t>
  </si>
  <si>
    <t>Modeling the Complexities of Water, Hygiene, and Health in Limpopo Province, South Africa</t>
  </si>
  <si>
    <t>DEC 18</t>
  </si>
  <si>
    <t>10.1021/es3038966</t>
  </si>
  <si>
    <t>WOS:000312432200061</t>
  </si>
  <si>
    <t>Dion, E; VanSchalkwyk, L; Lambin, EF</t>
  </si>
  <si>
    <t>Dion, Elise; VanSchalkwyk, Louis; Lambin, Eric F.</t>
  </si>
  <si>
    <t>The landscape epidemiology of foot-and-mouth disease in South Africa: A spatially explicit multi-agent simulation</t>
  </si>
  <si>
    <t>/0000-0003-4365-4904; Lambin, Eric/0000-0002-0673-5257</t>
  </si>
  <si>
    <t>JUL 10</t>
  </si>
  <si>
    <t>10.1016/j.ecolmodel.2011.03.026</t>
  </si>
  <si>
    <t>WOS:000292581400004</t>
  </si>
  <si>
    <t>Soboll, A; Elbers, M; Barthel, R; Schmude, J; Ernst, A; Ziller, R</t>
  </si>
  <si>
    <t>Soboll, Anja; Elbers, Michael; Barthel, Roland; Schmude, Juergen; Ernst, Andreas; Ziller, Ralf</t>
  </si>
  <si>
    <t>MITIGATION AND ADAPTATION STRATEGIES FOR GLOBAL CHANGE</t>
  </si>
  <si>
    <t>1381-2386</t>
  </si>
  <si>
    <t>1573-1596</t>
  </si>
  <si>
    <t>WOS:000288256300005</t>
  </si>
  <si>
    <t>Naivinit, W; Le Page, C; Trebuil, G; Gajaseni, N</t>
  </si>
  <si>
    <t>Naivinit, W.; Le Page, C.; Trebuil, G.; Gajaseni, N.</t>
  </si>
  <si>
    <t>Participatory agent-based modeling and simulation of rice production and labor migrations in Northeast Thailand</t>
  </si>
  <si>
    <t>Le Page, Christophe/E-6856-2010; Trébuil, Guy François/H-9823-2019</t>
  </si>
  <si>
    <t>Le Page, Christophe/0000-0002-1920-0091; Trébuil, Guy François/0000-0002-1370-4731</t>
  </si>
  <si>
    <t>10.1016/j.envsoft.2010.01.012</t>
  </si>
  <si>
    <t>WOS:000279666700008</t>
  </si>
  <si>
    <t>Schreinemachers, P; Potchanasin, C; Berger, T; Roygrong, S</t>
  </si>
  <si>
    <t>Schreinemachers, Pepijn; Potchanasin, Chakrit; Berger, Thomas; Roygrong, Sithidech</t>
  </si>
  <si>
    <t>Agent-based modeling for ex ante assessment of tree crop innovations: litchis in northern Thailand</t>
  </si>
  <si>
    <t>AGRICULTURAL ECONOMICS</t>
  </si>
  <si>
    <t>Berger, Thomas/0000-0003-3316-9614; Schreinemachers, Pepijn/0000-0003-1596-3179</t>
  </si>
  <si>
    <t>0169-5150</t>
  </si>
  <si>
    <t>1574-0862</t>
  </si>
  <si>
    <t>10.1111/j.1574-0862.2010.00467.x</t>
  </si>
  <si>
    <t>WOS:000284290000002</t>
  </si>
  <si>
    <t>Hu, HT; Gong, P; Xu, B</t>
  </si>
  <si>
    <t>Hu, Haitang; Gong, Peng; Xu, Bing</t>
  </si>
  <si>
    <t>Spatially explicit agent-based modelling for schistosomiasis transmission: Human-environment interaction simulation and control strategy assessment</t>
  </si>
  <si>
    <t>EPIDEMICS</t>
  </si>
  <si>
    <t>1755-4365</t>
  </si>
  <si>
    <t>10.1016/j.epidem.2010.03.004</t>
  </si>
  <si>
    <t>WOS:000208233500001</t>
  </si>
  <si>
    <t>Hoenigman, R; Bradley, E; Barger, N</t>
  </si>
  <si>
    <t>Branke, J</t>
  </si>
  <si>
    <t>Hoenigman, Rhonda; Bradley, Elizabeth; Barger, Nichole</t>
  </si>
  <si>
    <t>AgentScapes-Designing Water Efficient Landscapes Using Distributed Agent-based Optimization</t>
  </si>
  <si>
    <t>GECCO-2010 COMPANION PUBLICATION: PROCEEDINGS OF THE 12TH ANNUAL GENETIC AND EVOLUTIONARY COMPUTATION CONFERENCE</t>
  </si>
  <si>
    <t>12th Annual Genetic and Evolutionary Computation Conference (GECCO)</t>
  </si>
  <si>
    <t>JUL 07-11, 2010</t>
  </si>
  <si>
    <t>Portland, OR</t>
  </si>
  <si>
    <t>Assoc Comp Machinery, Special Interest Grp Genet &amp; Evolutionary Computat (ACM SIGEVO)</t>
  </si>
  <si>
    <t>978-1-4503-0073-5</t>
  </si>
  <si>
    <t>WOS:000322071400040</t>
  </si>
  <si>
    <t>Chu, JY; Wang, C; Chen, JN; Wang, H</t>
  </si>
  <si>
    <t>Chu, Junying; Wang, Can; Chen, Jining; Wang, Hao</t>
  </si>
  <si>
    <t>Agent-Based Residential Water Use Behavior Simulation and Policy Implications: A Case-Study in Beijing City</t>
  </si>
  <si>
    <t>DEC</t>
  </si>
  <si>
    <t>WOS:000271989700010</t>
  </si>
  <si>
    <t>Schreinemachers, P; Berger, T; Sirijinda, A; Praneetvatakul, S</t>
  </si>
  <si>
    <t>Schreinemachers, Pepijn; Berger, Thomas; Sirijinda, Aer; Praneetvatakul, Suwanna</t>
  </si>
  <si>
    <t>The Diffusion of Greenhouse Agriculture in Northern Thailand: Combining Econometrics and Agent-Based Modeling</t>
  </si>
  <si>
    <t>CANADIAN JOURNAL OF AGRICULTURAL ECONOMICS-REVUE CANADIENNE D AGROECONOMIE</t>
  </si>
  <si>
    <t>0008-3976</t>
  </si>
  <si>
    <t>1744-7976</t>
  </si>
  <si>
    <t>10.1111/j.1744-7976.2009.01168.x</t>
  </si>
  <si>
    <t>WOS:000270900500006</t>
  </si>
  <si>
    <t>Galan, JM; Lopez-Paredes, A; del Olmo, R</t>
  </si>
  <si>
    <t>Galan, Jose M.; Lopez-Paredes, Adolfo; del Olmo, Ricardo</t>
  </si>
  <si>
    <t>WATER RESOURCES RESEARCH</t>
  </si>
  <si>
    <t>Galán, José Manuel/B-9782-2009; lopez-paredes, adolfo/B-9900-2009</t>
  </si>
  <si>
    <t>Galán, José Manuel/0000-0003-3360-7602; lopez-paredes, adolfo/0000-0001-5748-8308</t>
  </si>
  <si>
    <t>0043-1397</t>
  </si>
  <si>
    <t>1944-7973</t>
  </si>
  <si>
    <t>MAY 2</t>
  </si>
  <si>
    <t>WOS:000265676700001</t>
  </si>
  <si>
    <t>Morganti, C; Perdon, AM; Conte, G; Scaradozzi, D</t>
  </si>
  <si>
    <t>Cabestany, J; Prieto, A; Sandoval, F; Corchado, JM</t>
  </si>
  <si>
    <t>Morganti, C.; Perdon, A. M.; Conte, G.; Scaradozzi, D.</t>
  </si>
  <si>
    <t>Multi-Agent System Theory for Modelling a Home Automation System</t>
  </si>
  <si>
    <t>BIO-INSPIRED SYSTEMS: COMPUTATIONAL AND AMBIENT INTELLIGENCE, PT 1</t>
  </si>
  <si>
    <t>Lecture Notes in Computer Science</t>
  </si>
  <si>
    <t>10th International Work-Conference on Artificial Neural Networks (IWANN 2009)</t>
  </si>
  <si>
    <t>JUN 10-12, 2009</t>
  </si>
  <si>
    <t>Salamanca, SPAIN</t>
  </si>
  <si>
    <t>Morganti, Gianluca/F-4265-2010</t>
  </si>
  <si>
    <t>0302-9743</t>
  </si>
  <si>
    <t>1611-3349</t>
  </si>
  <si>
    <t>978-3-642-02477-1</t>
  </si>
  <si>
    <t>WOS:000270081200074</t>
  </si>
  <si>
    <t>Morganti, G; Perdon, AM; Conte, G; Scaradozzi, D; Brintrup, A</t>
  </si>
  <si>
    <t>Morganti, G.; Perdon, A. M.; Conte, G.; Scaradozzi, D.; Brintrup, A.</t>
  </si>
  <si>
    <t>Optimising Home Automation Systems: a Comparative Study on Tabu Search and Evolutionary Algorithms</t>
  </si>
  <si>
    <t>MED: 2009 17TH MEDITERRANEAN CONFERENCE ON CONTROL &amp; AUTOMATION, VOLS 1-3</t>
  </si>
  <si>
    <t>Mediterranean Conference on Control and Automation</t>
  </si>
  <si>
    <t>17th Mediterranean Conference on Control and Automation</t>
  </si>
  <si>
    <t>JUN 24-26, 2009</t>
  </si>
  <si>
    <t>Thessaloniki, GREECE</t>
  </si>
  <si>
    <t>Brintrup, Alexandra/0000-0002-4189-2434</t>
  </si>
  <si>
    <t>2325-369X</t>
  </si>
  <si>
    <t>978-1-4244-4684-1</t>
  </si>
  <si>
    <t>10.1109/MED.2009.5164684</t>
  </si>
  <si>
    <t>WOS:000280699600180</t>
  </si>
  <si>
    <t>Barthel, R; Janisch, S; Schwarz, N; Trifkovic, A; Nickel, D; Schulz, C; Mauser, W</t>
  </si>
  <si>
    <t>Barthel, R.; Janisch, S.; Schwarz, N.; Trifkovic, A.; Nickel, D.; Schulz, C.; Mauser, W.</t>
  </si>
  <si>
    <t>WOS:000257094800001</t>
  </si>
  <si>
    <t>Galan, JM; del Olmo, R; Lopez-Paredes, A</t>
  </si>
  <si>
    <t>Corchado, E; Abraham, A; Pedrycz, W</t>
  </si>
  <si>
    <t>Galan, Jose M.; del Olmo, Ricardo; Lopez-Paredes, Adolfo</t>
  </si>
  <si>
    <t>Diffusion of Domestic Water Conservation Technologies in an ABM-GIS Integrated Model</t>
  </si>
  <si>
    <t>HYBRID ARTIFICIAL INTELLIGENCE SYSTEMS</t>
  </si>
  <si>
    <t>Lecture Notes in Artificial Intelligence</t>
  </si>
  <si>
    <t>3rd International Workshop on Hybrid Artificial Intelligence Systems</t>
  </si>
  <si>
    <t>SEP 24-26, 2008</t>
  </si>
  <si>
    <t>Univ Burgos, Burgos, SPAIN</t>
  </si>
  <si>
    <t>Univ Burgos</t>
  </si>
  <si>
    <t>lopez-paredes, adolfo/B-9900-2009; Galán, José Manuel/B-9782-2009</t>
  </si>
  <si>
    <t>978-3-540-87655-7</t>
  </si>
  <si>
    <t>+</t>
  </si>
  <si>
    <t>WOS:000259875000068</t>
  </si>
  <si>
    <t>Berger, T; Birner, R; Diaz, J; McCarthy, N; Wittmer, H</t>
  </si>
  <si>
    <t>Craswell, E; Bonnell, M; Bossio, D; Demuth, S; VandeGiesen, N</t>
  </si>
  <si>
    <t>Berger, Thomas; Birner, Regina; Diaz, Jose; McCarthy, Nancy; Wittmer, Heidi</t>
  </si>
  <si>
    <t>INTEGRATED ASSESSMENT OF WATER RESOURCES AND GLOBAL CHANGE</t>
  </si>
  <si>
    <t>Conference on Integrated Assessment of Water Resources and Global Change</t>
  </si>
  <si>
    <t>FEB, 2005</t>
  </si>
  <si>
    <t>Bonn, GERMANY</t>
  </si>
  <si>
    <t>Wittmer, Heidi/H-7264-2012</t>
  </si>
  <si>
    <t>Wittmer, Heidi/0000-0001-6966-7258; Berger, Thomas/0000-0003-3316-9614</t>
  </si>
  <si>
    <t>978-1-4020-5590-4</t>
  </si>
  <si>
    <t>WOS:000246046600009</t>
  </si>
  <si>
    <t>WOS:000243142400010</t>
  </si>
  <si>
    <t>Matthews, RB; Bakam, I</t>
  </si>
  <si>
    <t>Oxley, L; Kulasiri, D</t>
  </si>
  <si>
    <t>Matthews, R. B.; Bakam, Innocent</t>
  </si>
  <si>
    <t>A combined agent-based and biophysical modelling approach to address GHG mitigation policy issues</t>
  </si>
  <si>
    <t>MODSIM 2007: INTERNATIONAL CONGRESS ON MODELLING AND SIMULATION: LAND, WATER AND ENVIRONMENTAL MANAGEMENT: INTEGRATED SYSTEMS FOR SUSTAINABILITY</t>
  </si>
  <si>
    <t>International Congress on Modelling and Simulation (MODSIM07)</t>
  </si>
  <si>
    <t>DEC 10-13, 2007</t>
  </si>
  <si>
    <t>Christchurch, NEW ZEALAND</t>
  </si>
  <si>
    <t>978-0-9758400-4-7</t>
  </si>
  <si>
    <t>WOS:000290030700004</t>
  </si>
  <si>
    <t>Matthews, R</t>
  </si>
  <si>
    <t>The People and Landscape Model (PALM): Towards full integration of human decision-making and biophysical simulation models</t>
  </si>
  <si>
    <t>Matthews, Robin B/E-7975-2013</t>
  </si>
  <si>
    <t>APR 15</t>
  </si>
  <si>
    <t>10.1016/j.ecolmodel.2005.10.032</t>
  </si>
  <si>
    <t>WOS:000236693500001</t>
  </si>
  <si>
    <t>Abras, S; Ploix, S; Pesty, S; Jacomino, M</t>
  </si>
  <si>
    <t>INSTICC</t>
  </si>
  <si>
    <t>Abras, Shadi; Ploix, Stephane; Pesty, Sylvie; Jacomino, Mireille</t>
  </si>
  <si>
    <t>ICINCO 2006: PROCEEDINGS OF THE THIRD INTERNATIONAL CONFERENCE ON INFORMATICS IN CONTROL, AUTOMATION AND ROBOTICS: INTELLIGENT CONTROL SYSTEMS AND OPTIMIZATION</t>
  </si>
  <si>
    <t>3rd International Conference on Informatics in Control, Automation and Robotics</t>
  </si>
  <si>
    <t>AUG 01-05, 2006</t>
  </si>
  <si>
    <t>Setubal Coll Business Adm, Setubal, PORTUGAL</t>
  </si>
  <si>
    <t>Setubal Coll Business Adm</t>
  </si>
  <si>
    <t>972-8865-59-7</t>
  </si>
  <si>
    <t>WOS:000241941300008</t>
  </si>
  <si>
    <t>Athanasiadis, IN; Mentes, AK; Mitkas, PA; Mylopoulos, YA</t>
  </si>
  <si>
    <t>A hybrid agent-based model for estimating residential water demand</t>
  </si>
  <si>
    <t>SIMULATION-TRANSACTIONS OF THE SOCIETY FOR MODELING AND SIMULATION INTERNATIONAL</t>
  </si>
  <si>
    <t>Athanasiadis, Ioannis N/F-6301-2010</t>
  </si>
  <si>
    <t>Athanasiadis, Ioannis N/0000-0003-2764-0078</t>
  </si>
  <si>
    <t>0037-5497</t>
  </si>
  <si>
    <t>1741-3133</t>
  </si>
  <si>
    <t>WOS:000229806400002</t>
  </si>
  <si>
    <t>Daniell, KA; Sommerville, HC; Foley, BA; Maier, HR; Malovka, DJ; Kingsborough, AB</t>
  </si>
  <si>
    <t>Zerger, A; Argent, RM</t>
  </si>
  <si>
    <t>Daniell, K. A.; Sommerville, H. C.; Foley, B. A.; Maier, H. R.; Malovka, D. J.; Kingsborough, A. B.</t>
  </si>
  <si>
    <t>Integrated urban system modelling: methodology and case study using multi-agent systems</t>
  </si>
  <si>
    <t>MODSIM 2005: INTERNATIONAL CONGRESS ON MODELLING AND SIMULATION: ADVANCES AND APPLICATIONS FOR MANAGEMENT AND DECISION MAKING: ADVANCES AND APPLICATIONS FOR MANAGEMENT AND DECISION MAKING</t>
  </si>
  <si>
    <t>International Congress on Modelling and Simulation (MODSIM05)</t>
  </si>
  <si>
    <t>DEC 12-15, 2005</t>
  </si>
  <si>
    <t>Daniell, Katherine A./L-1669-2019; Maier, Holger R/B-9639-2008</t>
  </si>
  <si>
    <t>Daniell, Katherine A./0000-0002-8433-1012; Maier, Holger R/0000-0002-0277-6887</t>
  </si>
  <si>
    <t>978-0-9758400-2-3</t>
  </si>
  <si>
    <t>WOS:000290114102010</t>
  </si>
  <si>
    <t>S</t>
  </si>
  <si>
    <t>Edmonds, B; Moss, S</t>
  </si>
  <si>
    <t>Davidsson, P; Logan, B; Takadama, K</t>
  </si>
  <si>
    <t>From KISS to KIDS - An 'anti-simplistic' modelling approach</t>
  </si>
  <si>
    <t>MULTI-AGENT AND MULTI-AGENT-BASED SIMULATION</t>
  </si>
  <si>
    <t>Joint Workshop on Multi-Agent and Multi-Agent-Based Simulation</t>
  </si>
  <si>
    <t>JUL 19, 2004</t>
  </si>
  <si>
    <t>New York, NY</t>
  </si>
  <si>
    <t>Edmonds, Bruce/A-6030-2012</t>
  </si>
  <si>
    <t>Edmonds, Bruce/0000-0002-3903-2507</t>
  </si>
  <si>
    <t>3-540-25262-2</t>
  </si>
  <si>
    <t>WOS:000229000500011</t>
  </si>
  <si>
    <t>Kobti, Z; Reynolds, RG</t>
  </si>
  <si>
    <t>Modeling protein exchange across the social network in the village multi-agent simulation</t>
  </si>
  <si>
    <t>INTERNATIONAL CONFERENCE ON SYSTEMS, MAN AND CYBERNETICS, VOL 1-4, PROCEEDINGS</t>
  </si>
  <si>
    <t>IEEE International Conference on Systems Man and Cybernetics Conference Proceedings</t>
  </si>
  <si>
    <t>IEEE International Conference on Systems, Man and Cybernetics</t>
  </si>
  <si>
    <t>OCT 10-12, 2005</t>
  </si>
  <si>
    <t>Waikoloa, HI</t>
  </si>
  <si>
    <t>IEEE Syst, Man &amp; Cybernet Soc</t>
  </si>
  <si>
    <t>Kobti, Ziad/0000-0001-9503-9730</t>
  </si>
  <si>
    <t>1062-922X</t>
  </si>
  <si>
    <t>0-7803-9298-1</t>
  </si>
  <si>
    <t>WOS:000235210803034</t>
  </si>
  <si>
    <t>Matthews, RB; Polhill, JG; Gilbert, N; Roach, A</t>
  </si>
  <si>
    <t>Matthews, R. B.; Polhill, J. G.; Gilbert, N.; Roach, A.</t>
  </si>
  <si>
    <t>Integrating Agent-Based Social Models And Biophysical Models</t>
  </si>
  <si>
    <t>Gilbert, Nigel/B-9761-2009; Matthews, Robin B/E-7975-2013; Gilbert, Nigel/N-1085-2019; Polhill, Gary/S-5400-2016</t>
  </si>
  <si>
    <t>Gilbert, Nigel/0000-0002-5937-2410; Polhill, Gary/0000-0002-8596-0590</t>
  </si>
  <si>
    <t>WOS:000290114101096</t>
  </si>
  <si>
    <t>Berger, T</t>
  </si>
  <si>
    <t>Agent-based spatial models applied to agriculture: a simulation tool for technology diffusion, resource use changes and policy analysis</t>
  </si>
  <si>
    <t>14th Triennial Congress of the International-Association-of-Agricultural-Economists</t>
  </si>
  <si>
    <t>AUG 13-18, 2000</t>
  </si>
  <si>
    <t>BERLIN, GERMANY</t>
  </si>
  <si>
    <t>Int Assoc Agr Economists</t>
  </si>
  <si>
    <t>RASTOIN, Jean-Louis/F-3853-2011</t>
  </si>
  <si>
    <t>Berger, Thomas/0000-0003-3316-9614</t>
  </si>
  <si>
    <t>10.1111/j.1574-0862.2001.tb00205.x</t>
  </si>
  <si>
    <t>WOS:000172267200012</t>
  </si>
  <si>
    <t>Double</t>
  </si>
  <si>
    <t>Abstract/Title not applicable</t>
  </si>
  <si>
    <t>Studies included</t>
  </si>
  <si>
    <t>ALL</t>
  </si>
  <si>
    <t>Sorting Variable</t>
  </si>
  <si>
    <t>Scopus (No. Articles)</t>
  </si>
  <si>
    <t>Web of Science (No. Articles)</t>
  </si>
  <si>
    <t>other Sources (No. Articles)</t>
  </si>
  <si>
    <t>All sources  (No. Articles)</t>
  </si>
  <si>
    <t>Agent Behavior</t>
  </si>
  <si>
    <t>Environment</t>
  </si>
  <si>
    <t>Bakarji, Joseph and O’Malley, Daniel and Vesselinov, Velimir V.</t>
  </si>
  <si>
    <t>Adolfo López-Paredes and David Saurí and José M. Galán</t>
  </si>
  <si>
    <t>Agent-Based Socio-Hydrological Hybrid Modeling for Water Resource Management</t>
  </si>
  <si>
    <t>Integrated Model Driven by Agent-Based Water End-Use Forecasting to Evaluate the Performance of Water and Wastewater Pipeline Systems </t>
  </si>
  <si>
    <t>Urban Water Management with Artificial Societies of Agents: The FIRMABAR Simulator</t>
  </si>
  <si>
    <t>Liu, Yihong  and Fu Sun and Siyu Zeng and Kevin Lauzon and Xin Dong</t>
  </si>
  <si>
    <t>Darbandsari et al. 2017</t>
  </si>
  <si>
    <t>The relevance of aggregating a water consumption model cannot be disconnected from the choice of information available on the resource </t>
  </si>
  <si>
    <t>Margaret Edwards and Nils Ferrand and François Goreaud and Sylvie Huet</t>
  </si>
  <si>
    <t>A multiagent Q-learning-based optimal allocation approach for urban water resource management system</t>
  </si>
  <si>
    <t>Ni, Jianjun; Liu, Minghua; Ren, Li; Yang, Simon X.</t>
  </si>
  <si>
    <t>Giacomoni et al 2013</t>
  </si>
  <si>
    <t>Kanta, L.; Zechman. E.</t>
  </si>
  <si>
    <t>Complex Adaptive Systems Framework to AssessSupply-Side and Demand-Side Managementfor Urban Water Resources</t>
  </si>
  <si>
    <t>Data used for modeling general agents (land use models etc.) no specific data for Water demand used /validated. Parameters used from reference models.</t>
  </si>
  <si>
    <t>See Giacomoni 2013</t>
  </si>
  <si>
    <t>Note</t>
  </si>
  <si>
    <t>An agent-based modeling approach for simulating contamination events applied to the mesopolis water distribution system</t>
  </si>
  <si>
    <t>Shafiee, M. E.  and E. M. Zechman</t>
  </si>
  <si>
    <t>Integrating complex adaptive system simulation and evolutionary computation to support water infrastructure threat management</t>
  </si>
  <si>
    <t>Zechman, E. M.</t>
  </si>
  <si>
    <t>Agent-based modeling to simulate contamination events and evaluate threat management strategies in water distribution systems</t>
  </si>
  <si>
    <t>Shafie 2011</t>
  </si>
  <si>
    <t>Demonstrating the Role of Stakeholder Participation: An Agent Based Social Simulation Model of Water Demand Policy and Response</t>
  </si>
  <si>
    <t>Moss, S.; Downing, T. E.; Rouchier, J.</t>
  </si>
  <si>
    <t>Athanasiadis 2005</t>
  </si>
  <si>
    <t>A Bargaining Model to Simulate Negotiations between Water Users</t>
  </si>
  <si>
    <t>Thoyer et al.</t>
  </si>
  <si>
    <t>Multiagent Modeling and Simulation of Hydraulic Management of the Camargue</t>
  </si>
  <si>
    <t>Barthel 2008</t>
  </si>
  <si>
    <t>Espinasse and Franchesquin</t>
  </si>
  <si>
    <t>Feuillette</t>
  </si>
  <si>
    <t>SINUSE: a multi-agent model to negotiate water demand management on a free access water table</t>
  </si>
  <si>
    <t>For further Information see Schwarz/Ernst 2009</t>
  </si>
  <si>
    <t>Only agregated Water Demand</t>
  </si>
  <si>
    <t>Only agregated water demand</t>
  </si>
  <si>
    <t>Williamson</t>
  </si>
  <si>
    <t>An Applied Microsimulation Model: Exploring Alternative Domestic Water Consumption Scenarios</t>
  </si>
  <si>
    <t>Alvi 2008</t>
  </si>
  <si>
    <t>Intelligent Software Simulation Of Water Consumption In Domestic Homes</t>
  </si>
  <si>
    <t>Zaher, Badr</t>
  </si>
  <si>
    <t>Douplicates in Scopus Search</t>
  </si>
  <si>
    <t>Simulating the Spread of Low-Flow Fixtures for Residential Water Conservation: An Agent-based Approach</t>
  </si>
  <si>
    <t>Tourigny, Filion</t>
  </si>
  <si>
    <t>Tourigny2017</t>
  </si>
  <si>
    <t>Ozik 2015</t>
  </si>
  <si>
    <t>Murphy, Altaweel, Ozik, Lammers</t>
  </si>
  <si>
    <t>Understanding institutions for water allocation and exchange:Insights from dynamic agent-based modeling</t>
  </si>
  <si>
    <t>Specific Environment (Valladolid) map, migration and technology adoption.</t>
  </si>
  <si>
    <t>-</t>
  </si>
  <si>
    <t>Connected to Barthel et al. 2008</t>
  </si>
  <si>
    <t>Structure and data requirements of an end-use model for residential water demand and return flow</t>
  </si>
  <si>
    <t>Kanta 2015</t>
  </si>
  <si>
    <t>Jacobs, Haaroff</t>
  </si>
  <si>
    <t>No modeling of individual domestic water demand</t>
  </si>
  <si>
    <t>Interaction with other agents (competition for water supply), demand subject to technical constraint (domestic water storage and water supply times)</t>
  </si>
  <si>
    <t>Not described in this paper, see Koutiva et al. 2016</t>
  </si>
  <si>
    <t>"seven water demand management strategies, five water demand scenarios, and 10 synthetic water
supply decades of net inflow to the Athens urban water system were developed and examined."</t>
  </si>
  <si>
    <t>Ramsey 2020</t>
  </si>
  <si>
    <t>An Agent-based Modeling Framework for Assessing the Public Health Protection of Water Advisories</t>
  </si>
  <si>
    <t>Shafiee, M. E.  Et al.</t>
  </si>
  <si>
    <t>Monroe, Ramsey, Berglund</t>
  </si>
  <si>
    <t>Allocating countermeasures to defend water distribution systems against terrorist attack</t>
  </si>
  <si>
    <t>Simulation of Containment and Wireless Emergency Alerts within Targeted Pressure Zones for Water Contamination Management</t>
  </si>
  <si>
    <t>Strickling, DiCarlo, Shafiee, Berglund</t>
  </si>
  <si>
    <t>Kandiah, V.; Berglund, E.; Binder, A</t>
  </si>
  <si>
    <t>Cellular Automata Modeling Framework for Urban Water Reuse Planning and Management</t>
  </si>
  <si>
    <t>Climate Change and the Demand for Water, Research Report, Stockholm Environment Institute Oxford Office</t>
  </si>
  <si>
    <t>Downing et al.</t>
  </si>
  <si>
    <t>Edmonds 2005</t>
  </si>
  <si>
    <t>Agricultural + output modeled</t>
  </si>
  <si>
    <t>Tillman et al.</t>
  </si>
  <si>
    <t>Faust 2017</t>
  </si>
  <si>
    <t>Interaction analysis of stakeholders in water supply systems</t>
  </si>
  <si>
    <t>Simulating development strategies for water supply systems</t>
  </si>
  <si>
    <t>Modeling the actors in water supply systems</t>
  </si>
  <si>
    <t>Galan 2008</t>
  </si>
  <si>
    <t>Lopez-Paredes, Hernandes</t>
  </si>
  <si>
    <t>Agent-based Modelling in Natural Resource Management</t>
  </si>
  <si>
    <t>See Galan et al. 2009. Verification of linear regression through F-Test, p-value and adjusted R².</t>
  </si>
  <si>
    <t>Funding Name Preferred</t>
  </si>
  <si>
    <t>DOI Link</t>
  </si>
  <si>
    <t>Web of Science Record</t>
  </si>
  <si>
    <t>English</t>
  </si>
  <si>
    <t>OPINION FORMATION; PHASE-TRANSITIONS; BEHAVIOR; IMPACT; CONSUMPTION; PSYCHOLOGY; ATTITUDES; PROTOCOL; PHYSICS; TOOLS</t>
  </si>
  <si>
    <t>The urban water system is a complex adaptive system consisting of technical, environmental and social components which interact with each other through time. As such, its investigation requires tools able to model the complete socio-technical system, complementing infrastructure-centred approaches. This paper presents a methodology for integrating two modelling tools, a social simulation model and an urban water management tool. An agent based model, the Urban Water Agents' Behaviour, is developed to simulate the domestic water users' behaviour in response to water demand management measures and is then coupled to the Urban Water Optioneering Tool to calculate the evolution of domestic water demand by simulating the use of water appliances. The proposed methodology is tested using, as a case study, a major period of drought in Athens, Greece. Results suggest that the coupling of the two models provides new functionality for water demand management scenarios assessment by water regulators and companies. (C) 2016 Elsevier Ltd. All rights reserved.</t>
  </si>
  <si>
    <t>[Koutiva, Ifigeneia; Makropoulos, Christos] Natl Tech Univ Athens, Sch Civil Engn, Dept Water Resources &amp; Environm Engn, Heroon Polytechneiou 5, GR-15780 Athens, Greece</t>
  </si>
  <si>
    <t>Koutiva, I (corresponding author), Natl Tech Univ Athens, Sch Civil Engn, Dept Water Resources &amp; Environm Engn, Heroon Polytechneiou 5, GR-15780 Athens, Greece.</t>
  </si>
  <si>
    <t>ikoutiva@mail.ntua.gr; cmakro@mail.ntua.gr</t>
  </si>
  <si>
    <t>Koutiva, Ifigeneia/J-4366-2019; Makropoulos, Christos/AAN-8320-2021</t>
  </si>
  <si>
    <t>European Union (European Social Fund - ESF); Greek national funds through the Operational Program Education and Lifelong Learning of the National Strategic Reference Framework (NSRF) - Research Funding Program: Heracleitus II. Investing in knowledge society through the European Social Fund; European Social Fund</t>
  </si>
  <si>
    <t>European Union (European Social Fund - ESF)(European Social Fund (ESF)); Greek national funds through the Operational Program Education and Lifelong Learning of the National Strategic Reference Framework (NSRF) - Research Funding Program: Heracleitus II. Investing in knowledge society through the European Social Fund; European Social Fund(European Social Fund (ESF))</t>
  </si>
  <si>
    <t>This research has been co-financed by the European Union (European Social Fund - ESF) and Greek national funds through the Operational Program Education and Lifelong Learning of the National Strategic Reference Framework (NSRF) - Research Funding Program: Heracleitus II. Investing in knowledge society through the European Social Fund.</t>
  </si>
  <si>
    <t>ELSEVIER SCI LTD</t>
  </si>
  <si>
    <t>OXFORD</t>
  </si>
  <si>
    <t>THE BOULEVARD, LANGFORD LANE, KIDLINGTON, OXFORD OX5 1GB, OXON, ENGLAND</t>
  </si>
  <si>
    <t>ENVIRON MODELL SOFTW</t>
  </si>
  <si>
    <t>Environ. Modell. Softw.</t>
  </si>
  <si>
    <t>Computer Science, Interdisciplinary Applications; Engineering, Environmental; Environmental Sciences; Water Resources</t>
  </si>
  <si>
    <t>Science Citation Index Expanded (SCI-EXPANDED); Social Science Citation Index (SSCI)</t>
  </si>
  <si>
    <t>Computer Science; Engineering; Environmental Sciences &amp; Ecology; Water Resources</t>
  </si>
  <si>
    <t>DK0KP</t>
  </si>
  <si>
    <t>2022-07-01</t>
  </si>
  <si>
    <t>agent based modeling; behavioral factors; residential water use; buildings</t>
  </si>
  <si>
    <t>BEHAVIOR; VALUES</t>
  </si>
  <si>
    <t>Households consume a significant fraction of total potable water production. Strategies to improve the efficiency of water use tend to emphasize technological interventions to reduce or shift water demand. Behavioral water use reduction strategies can also play an important role, but a flexible framework for exploring the what-ifs has not been available. This paper introduces such a framework, presenting an agent-based model of household water-consuming behavior. The model simulates hourly water-using activities of household members within a rich technological and behavioral context, calibrated with appropriate data. Illustrative experiments compare the resulting water usage of U. S. and Dutch households and their associated water-using technologies, different household types (singles, families with children, and retired couples), different water metering regimes, and educational campaigns. All else equal, Dutch and metered households use less water. Retired households use more water because they are more often at home. Water-saving educational campaigns are effective for the part of the population that is receptive. Important interactions among these factors, both technological and behavioral, highlight the value of this framework for integrated analysis of the human-technologywater system.</t>
  </si>
  <si>
    <t>[Linkola, Lilli] Sitra, Helsinki 00181, Finland; [Andrews, Clinton J.] Rutgers State Univ, Edward J Bloustein Sch Planning &amp; Publ Policy, New Brunswick, NJ 08901 USA; [Schuetze, Thorsten] Sungkyunkwan Univ, Dept Architecture, Suwon 440746, South Korea</t>
  </si>
  <si>
    <t>Linkola, L (corresponding author), Sitra, PL 160, Helsinki 00181, Finland.</t>
  </si>
  <si>
    <t>lilli.linkola@gmail.com; cja1@rutgers.edu; t.schuetze@skku.edu</t>
  </si>
  <si>
    <t>Andrews, Clinton J./X-6346-2018; Schuetze, Thorsten/ABA-5119-2021</t>
  </si>
  <si>
    <t>Andrews, Clinton J./0000-0002-2989-8091; Schuetze, Thorsten/0000-0001-7849-2330</t>
  </si>
  <si>
    <t>National Science Foundation [CMS-0725503]; Civil engineering foundation of Finland (MVTT)</t>
  </si>
  <si>
    <t>National Science Foundation(National Science Foundation (NSF)); Civil engineering foundation of Finland (MVTT)</t>
  </si>
  <si>
    <t>This research was in part supported by the National Science Foundation under Grant CMS-0725503 and the Civil engineering foundation of Finland (MVTT).</t>
  </si>
  <si>
    <t>MDPI AG</t>
  </si>
  <si>
    <t>BASEL</t>
  </si>
  <si>
    <t>POSTFACH, CH-4005 BASEL, SWITZERLAND</t>
  </si>
  <si>
    <t>WATER-SUI</t>
  </si>
  <si>
    <t>Water</t>
  </si>
  <si>
    <t>Environmental Sciences; Water Resources</t>
  </si>
  <si>
    <t>Environmental Sciences &amp; Ecology; Water Resources</t>
  </si>
  <si>
    <t>301FI</t>
  </si>
  <si>
    <t>gold, Green Published, Green Submitted</t>
  </si>
  <si>
    <t>Domestic water use; Agent-based modeling; Bass diffusion model</t>
  </si>
  <si>
    <t>DEMAND MANAGEMENT; PRICE ELASTICITY; CONSUMPTION; IMPACT; CONSERVATION; TEMPERATURE; SIMULATION; DYNAMICS; POLICIES; PORTLAND</t>
  </si>
  <si>
    <t>Many cities have been suffering from severe water deficiency in recent years due to rapid urban expansion, socioeconomic development, population growth, and climate change. Domestic water use plays an important role in the total urban water use. A framework for estimating domestic water use is highly needed to develop adaptive measures for efficient water use under climate change and urbanization. In this study, we developed an agent-based model (ABM) with two groups of agents to estimate the domestic water use. These two groups include the government agent that determines the income growth rate, adjusts water prices, and promotes water-efficient appliances, and the residential agents who consume water. To better capture the impact of urbanization and climate change on water use, the utility function of residential agents was further divided into base water use related to economic condition and seasonal water use that is sensitive to climate conditions. Moreover, a bass diffusion model was proposed and integrated into the ABM to consider the diffusion of water-efficient appliances. Results show that our ABM can capture the spatiotemporal pattern of domestic water use in different regions. Residents in the central urban area consume more water compared to residents in the suburbs in the study cities in China, but it is opposite in the study counties in the US. The growth of income and water-efficient appliances are two factors affecting domestic water use. The proposed modeling framework is transferrable to other regions to develop strategies for mitigating domestic water use.</t>
  </si>
  <si>
    <t>[Wang, Yiming; Zhou, Yuyu; Franz, Kristie; Ding, Ke Jack] Iowa State Univ, Dept Geol &amp; Atmospher Sci, Ames, IA 50011 USA; [Zhang, Xuesong] Univ Maryland, Earth Syst Sci Interdisciplinary Ctr, College Pk, MD 20740 USA; [Jia, Gensuo; Yuan, Xing] Chinese Acad Sci, Inst Atmospher Phys, Key Lab Reg Climate Environm East Asia, Beijing 100029, Peoples R China</t>
  </si>
  <si>
    <t>Zhou, YY (corresponding author), Iowa State Univ, Dept Geol &amp; Atmospher Sci, Ames, IA 50011 USA.</t>
  </si>
  <si>
    <t>yuyuzhou@iastate.edu</t>
  </si>
  <si>
    <t>Zhou, Yuyu/ABF-1638-2020; Jia, Gensuo/AAL-2681-2020; Yuan, Xing/G-8392-2011</t>
  </si>
  <si>
    <t>Jia, Gensuo/0000-0001-5950-9555; Yuan, Xing/0000-0001-6983-7368; Ding, Ke/0000-0002-2396-2144; Zhou, Yuyu/0000-0003-1765-6789</t>
  </si>
  <si>
    <t>National Science Foundation [CBET1803920]</t>
  </si>
  <si>
    <t>National Science Foundation(National Science Foundation (NSF))</t>
  </si>
  <si>
    <t>This study was supported by the National Science Foundation (CBET1803920).</t>
  </si>
  <si>
    <t>ELSEVIER</t>
  </si>
  <si>
    <t>AMSTERDAM</t>
  </si>
  <si>
    <t>RADARWEG 29, 1043 NX AMSTERDAM, NETHERLANDS</t>
  </si>
  <si>
    <t>RESOUR CONSERV RECY</t>
  </si>
  <si>
    <t>Resour. Conserv. Recycl.</t>
  </si>
  <si>
    <t>FEB 2021</t>
  </si>
  <si>
    <t>Engineering, Environmental; Environmental Sciences</t>
  </si>
  <si>
    <t>Engineering; Environmental Sciences &amp; Ecology</t>
  </si>
  <si>
    <t>SM0RS</t>
  </si>
  <si>
    <t>agent-based social simulation; residential water demand; multiagent systems; social influence; pricing policies</t>
  </si>
  <si>
    <t>MULTIAGENT MODEL; MANAGEMENT; CONSERVATION; ADOPTION; PRICE</t>
  </si>
  <si>
    <t>The global effort toward sustainable development has initiated a transition in water management. Water utility companies use water-pricing policies as an instrument for controlling residential water demand. To support policy makers in their decisions, the authors have developed DAWN, a hybrid model for evaluating water-pricing policies. DAWN integrates an agent-based social model for the consumer with conventional econometric models and simulates the residential water demand-supply chain, enabling the evaluation of different scenarios for policy making. An agent community is assigned to behave as water consumers, while econometric and social models are incorporated into them for estimating water consumption. DAWN's main advantage is that it supports social interaction between consumers, through an influence diffusion mechanism, implemented via inter-agent communication. Parameters affecting water consumption and associated with consumers' social behavior can be simulated with DAWN. Real-world results of DAWN's application for the evaluation of five water-pricing policies in Thessaloniki, Greece, are presented.</t>
  </si>
  <si>
    <t>Aristotle Univ Thessaloniki, GR-54124 Thessaloniki, Greece</t>
  </si>
  <si>
    <t>Athanasiadis, IN (corresponding author), Aristotle Univ Thessaloniki, GR-54124 Thessaloniki, Greece.</t>
  </si>
  <si>
    <t>ioannis@athanasiadis.info</t>
  </si>
  <si>
    <t>SAGE PUBLICATIONS LTD</t>
  </si>
  <si>
    <t>LONDON</t>
  </si>
  <si>
    <t>1 OLIVERS YARD, 55 CITY ROAD, LONDON EC1Y 1SP, ENGLAND</t>
  </si>
  <si>
    <t>SIMUL-T SOC MOD SIM</t>
  </si>
  <si>
    <t>Simul.-Trans. Soc. Model. Simul. Int.</t>
  </si>
  <si>
    <t>Computer Science, Interdisciplinary Applications; Computer Science, Software Engineering</t>
  </si>
  <si>
    <t>Science Citation Index Expanded (SCI-EXPANDED)</t>
  </si>
  <si>
    <t>Computer Science</t>
  </si>
  <si>
    <t>935TN</t>
  </si>
  <si>
    <t>Green Published</t>
  </si>
  <si>
    <t>Agent-based social simulation; Residential water use; Water consumption behavior; Uncertainty analysis; Water policy; Water demand</t>
  </si>
  <si>
    <t>PRICE ELASTICITY; DEMAND; MODELS</t>
  </si>
  <si>
    <t>Residential water use constitutes a major part of urban water demand, and has be gaining importance in the urban water supply. Considering the complexity of residential water use system, an agent-based social simulation, i.e. the Residential Water Use Model (RWUM), is developed in this paper to capture the behavioral characteristics of residential water usage. By disaggregating total water demands down to constituent end-uses, this model can evaluate heterogeneous consumer responses on water, taking into account the factors of market penetration of water-saving technologies, regulatory policies, economic development, as well as social consciousness and preferences. Also, uncertainty analysis technique is innovatively applied in this agent-based model for parameter calibration and model robust testing. According to the case study in Beijing, this model can provide insights to water management agency in evaluating different water usage polices, as well as estimations for potential water saving for future infrastructure development planning.</t>
  </si>
  <si>
    <t>[Chu, Junying; Wang, Can; Chen, Jining] Tsinghua Univ, Dept Environm Sci &amp; Engn, Beijing 100084, Peoples R China; [Wang, Hao] Minist Water Resource, Engn Res Ctr Water Resources &amp; Ecol, Beijing 100044, Peoples R China</t>
  </si>
  <si>
    <t>Wang, C (corresponding author), Tsinghua Univ, Dept Environm Sci &amp; Engn, Beijing 100084, Peoples R China.</t>
  </si>
  <si>
    <t>canwang@tsinghua.edu.cn</t>
  </si>
  <si>
    <t>National Natural Science Foundation of China [70603018]; Hydrological Simulation &amp; Regulation of Watersheds [50721006]</t>
  </si>
  <si>
    <t>National Natural Science Foundation of China(National Natural Science Foundation of China (NSFC)); Hydrological Simulation &amp; Regulation of Watersheds</t>
  </si>
  <si>
    <t>This work was supported by National Natural Science Foundation of China (70603018) and Hydrological Simulation &amp; Regulation of Watersheds (50721006).</t>
  </si>
  <si>
    <t>SPRINGER</t>
  </si>
  <si>
    <t>DORDRECHT</t>
  </si>
  <si>
    <t>VAN GODEWIJCKSTRAAT 30, 3311 GZ DORDRECHT, NETHERLANDS</t>
  </si>
  <si>
    <t>WATER RESOUR MANAG</t>
  </si>
  <si>
    <t>Water Resour. Manag.</t>
  </si>
  <si>
    <t>Engineering, Civil; Water Resources</t>
  </si>
  <si>
    <t>Engineering; Water Resources</t>
  </si>
  <si>
    <t>522HY</t>
  </si>
  <si>
    <t>Water demand; Agent; Extended linear expenditure system; Genetic algorithm</t>
  </si>
  <si>
    <t>NEURAL-NETWORK; RESIDENTIAL DEMAND; CLIMATE-CHANGE; CONSUMPTION; PRICE; IMPACT; CITY; USA</t>
  </si>
  <si>
    <t>Beijing is faced with severe water scarcity due to rapid socio-economic development and population expansion, and a guideline for water regulation has been released to control the volume of national water use. To cope with water shortage and meet regulation goal, it has great significance to study the variations of water demand. In this paper, an agent-based model named HWDP is developed for the prediction of urban household water demand in Beijing. The model involves stochastic behaviors and feedbacks caused by two agent roles which are government agent and household agent. The government agent adopts economic and propagandist means to make household agent optimize its water consumption. Additionally, the consumption is also affected by the basic water demand deduced from extended linear expenditure system. The results indicate that the total water demand of urban households in Beijing will increase to 317.5 million cubic meters by 2020, while the water price keeps growing at a low level. However, it would drop to 294.9 million cubic meters with high growth of water price and low increment in per capita disposable income. Finally, some policy recommendations on water regulation are made.</t>
  </si>
  <si>
    <t>[Yuan, Xiao-Chen; Wei, Yi-Ming; Pan, Su-Yan; Jin, Ju-Liang] Beijing Inst Technol, Ctr Energy &amp; Environm Policy Res, Beijing 100081, Peoples R China; [Yuan, Xiao-Chen; Wei, Yi-Ming; Pan, Su-Yan] Beijing Inst Technol, Sch Management &amp; Econ, Beijing 100081, Peoples R China; [Jin, Ju-Liang] Hefei Univ Technol, Sch Civil Engn, Hefei 230009, Peoples R China</t>
  </si>
  <si>
    <t>Wei, YM (corresponding author), Beijing Inst Technol, Ctr Energy &amp; Environm Policy Res, 5 South Zhongguancun St, Beijing 100081, Peoples R China.</t>
  </si>
  <si>
    <t>ymwei@deas.harvard.edu</t>
  </si>
  <si>
    <t>National Natural Science Foundation of China (NSFC) [71020107026, 51309072]; National Basic Research Program of China [2012CB955704]; S&amp;T Program of MOST [2012BAC20B01]; Ministry of Water Resources of China [201301003]</t>
  </si>
  <si>
    <t>National Natural Science Foundation of China (NSFC)(National Natural Science Foundation of China (NSFC)); National Basic Research Program of China(National Basic Research Program of China); S&amp;T Program of MOST; Ministry of Water Resources of China</t>
  </si>
  <si>
    <t>The authors gratefully acknowledge the financial support from the National Natural Science Foundation of China (NSFC) under Grant Nos. 71020107026, 51309072; National Basic Research Program of China under Grant No. 2012CB955704; S&amp;T Program of MOST under Grant No. 2012BAC20B01; the Public Welfare Industry Funding for Research and Special Projects of Ministry of Water Resources of China (201301003). We thank editors of WRM and the anonymous referees for their helpful suggestions and corrections on the earlier draft of our paper according to which we improved the content.</t>
  </si>
  <si>
    <t>AK8BC</t>
  </si>
  <si>
    <t>Proceedings Paper</t>
  </si>
  <si>
    <t>The growth of urban water demands in many developing countries outpaces the expansion of water infrastructure, and growing populations may meet immediate water needs through private wells and illegal connections. Demand management strategies can avert the depletion of water resources by encouraging conservation and installation of water-efficient technologies. In many developing urban areas, however, significant heterogeneity may exist among water consumers in their sources of water, end use applications, and individual responses to messages about water conservation. Consequently, predicting the performance of demand management strategies using simple demand projections may neglect significant interactions and decision-making among users. An agent-based modeling approach is developed here to simulate the spread of water conservation technologies within a community in response to conservation policies, which target portions of the population using different messaging techniques. Agents represent households, and water use behaviors are coded based on data derived from a household survey of 248 households on water use behaviors and willingness to conserve water. Management strategies are simulated to represent direct messaging from government officials to reduce overall water consumption and indirect messaging from government officials and religious officials. The framework is applied for Jaipur, India, a city with a population of approximately 3.2 million people. The agent-based model is applied to project reduction of overall consumption rates due to the spread of water conservation technology, and results are compared to projected water demands at the current residential water consumption rate.</t>
  </si>
  <si>
    <t>[Ramsey, Elizabeth] North Carolina State Univ, Sociotech Syst Anal Lab, Dept Civil Construct &amp; Environm Engn, CB 7908, Raleigh, NC 27695 USA</t>
  </si>
  <si>
    <t>Ramsey, E (corresponding author), North Carolina State Univ, Sociotech Syst Anal Lab, Dept Civil Construct &amp; Environm Engn, CB 7908, Raleigh, NC 27695 USA.</t>
  </si>
  <si>
    <t>evramsey@ncsu.edu</t>
  </si>
  <si>
    <t>National Science Foundation Graduate Research Fellowship Program [DGE-1252376]; Fulbright-Nehru Student Research Grant; Government of India; United States Government</t>
  </si>
  <si>
    <t>National Science Foundation Graduate Research Fellowship Program(National Science Foundation (NSF)); Fulbright-Nehru Student Research Grant; Government of India; United States Government</t>
  </si>
  <si>
    <t>This material is based upon work supported by the National Science Foundation Graduate Research Fellowship Program under Grant No. DGE-1252376 and the Fulbright-Nehru Student Research Grant, which is administered by the United States Indian Educational Foundation and funded by the Government of India and the United States Government.</t>
  </si>
  <si>
    <t>AMER SOC CIVIL ENGINEERS</t>
  </si>
  <si>
    <t>NEW YORK</t>
  </si>
  <si>
    <t>UNITED ENGINEERING CENTER, 345 E 47TH ST, NEW YORK, NY 10017-2398 USA</t>
  </si>
  <si>
    <t>Engineering, Civil; Environmental Sciences; Water Resources</t>
  </si>
  <si>
    <t>Conference Proceedings Citation Index - Science (CPCI-S)</t>
  </si>
  <si>
    <t>Engineering; Environmental Sciences &amp; Ecology; Water Resources</t>
  </si>
  <si>
    <t>BH4BF</t>
  </si>
  <si>
    <t>agent based modelling; social impact theory; urban water demand management; water conservation</t>
  </si>
  <si>
    <t>OPINION FORMATION; SOCIAL IMPACT; SIMULATION; PROTOCOL; DEMAND</t>
  </si>
  <si>
    <t>The urban water system's sustainable evolution requires managing both water supply and water demand within a complete urban water cycle framework. Such an approach, however, requires tools to analyse and simulate the complete system including both physical and cultural environments. One of the main challenges, in this regard, is the design and development of tools able to simulate the society's water demand behaviour and the way policy measures affect it. The effects of these policy measures are a function of personal attitudes that subsequently lead to the formation of people's behaviours. This work focuses on the exploration of social impact theory on water conservation attitudes of urban households. A model is designed and implemented using agent based modelling. The developed model's ability to represent social structure and mechanisms of social influences is tested against historical data from the 1988-1994 drought of Athens, Greece as a case study.</t>
  </si>
  <si>
    <t>[Koutiva, Ifigeneia; Makropoulos, Christos] Natl Tech Univ Athens, Sch Civil Engn, Dept Water Resources &amp; Environm Engn, Heroon Polytech 5, GR-15780 Athens, Greece</t>
  </si>
  <si>
    <t>Koutiva, I (corresponding author), Natl Tech Univ Athens, Sch Civil Engn, Dept Water Resources &amp; Environm Engn, Heroon Polytech 5, GR-15780 Athens, Greece.</t>
  </si>
  <si>
    <t>ikoutiva@mail.ntua.gr</t>
  </si>
  <si>
    <t>European Union (European Social Fund - ESF); Greek national funds through the Operational Program 'Education and Lifelong Learning' of the National Strategic Reference Framework (NSRF) - Research Funding Program: Heracleitus II</t>
  </si>
  <si>
    <t>European Union (European Social Fund - ESF)(European Social Fund (ESF)); Greek national funds through the Operational Program 'Education and Lifelong Learning' of the National Strategic Reference Framework (NSRF) - Research Funding Program: Heracleitus II</t>
  </si>
  <si>
    <t>The authors would like to thank Dr Evangelos Rozos and Dr Stefanos Kozanis of the Department of Water Resources and Environmental Engineering of the School of Civil Engineering of NTUA, for their advice on programming issues. This research has been co-financed by the European Union (European Social Fund - ESF) and Greek national funds through the Operational Program 'Education and Lifelong Learning' of the National Strategic Reference Framework (NSRF) - Research Funding Program: Heracleitus II. Investing in knowledge society through the European Social Fund.</t>
  </si>
  <si>
    <t>IWA PUBLISHING</t>
  </si>
  <si>
    <t>ALLIANCE HOUSE, 12 CAXTON ST, LONDON SW1H0QS, ENGLAND</t>
  </si>
  <si>
    <t>WATER SCI TECH-W SUP</t>
  </si>
  <si>
    <t>Water Sci. Technol.-Water Supply</t>
  </si>
  <si>
    <t>Engineering, Environmental; Environmental Sciences; Water Resources</t>
  </si>
  <si>
    <t>EQ3UY</t>
  </si>
  <si>
    <t>attitudes; peer pressure; opportunities; encouragement; water use; agent-based model</t>
  </si>
  <si>
    <t>DEMAND-SIDE MANAGEMENT; RESIDENTIAL WATER; CONSERVATION; BEHAVIOR</t>
  </si>
  <si>
    <t>Water conservation has long been an effective component of sustainable water management. However, inelastic price responses, demand hardening, and poor public awareness reduce the effectiveness of strategies. Here, we identify and quantify the effects of psychological and social factors such as attitudes, peer support, opportunities to conserve, and encouragement on household water use. We link household survey, municipal billing, aerial imagery, weather, and appliance flow and duration data. We use the data to develop, populate, and partially validate an agent-based model for 270 households in Logan, Utah. Simulated indoor water use matched observed use better than outdoor use and improved over prior studies that only conceptually validated model results. Households with stronger conservation attitudes, peer support, and more opportunities saved the most water. Peer pressure saved more water than water manager encouragement because small, diverse social networks could better regulate the behavior of outlier households within the network. Combining peer pressure and encouragement saved the most water. Results suggest managers should provide platforms for households to share their water use stories and information with each other. Managers should target conservation actions to the small fraction of households who use the most water and have large potential to save water. Mangers can use the psychological and social factors to increase household adoption of water conservation actions.</t>
  </si>
  <si>
    <t>[James, R.; Rosenberg, D. E.] Utah State Univ, Dept Civil &amp; Environm Engn, Logan, UT 84322 USA; [James, R.; Rosenberg, D. E.] Utah State Univ, Utah Water Res Lab, Logan, UT 84322 USA; [James, R.] Western States Water Council, Murray, UT 84107 USA</t>
  </si>
  <si>
    <t>James, R (corresponding author), Utah State Univ, Dept Civil &amp; Environm Engn, Logan, UT 84322 USA.;James, R (corresponding author), Utah State Univ, Utah Water Res Lab, Logan, UT 84322 USA.;James, R (corresponding author), Western States Water Council, Murray, UT 84107 USA.</t>
  </si>
  <si>
    <t>ryjamesj@gmail.com</t>
  </si>
  <si>
    <t>National Science Foundation [OIA-1208732]</t>
  </si>
  <si>
    <t>Melissa Haffner and Doug Jackson-Smith shared the iUTAH survey data. David Tarboton helped analyze the landscape data with ArcGIS. Jacopo Baggio answered numerous agent-based modeling questions. Adel Abdallah shared use of the high-frequency indoor appliance water use data. Jim Stagge helped with coding and producing figures in RStudio. Funding by the National Science Foundation grant OIA-1208732.</t>
  </si>
  <si>
    <t>AMER GEOPHYSICAL UNION</t>
  </si>
  <si>
    <t>WASHINGTON</t>
  </si>
  <si>
    <t>2000 FLORIDA AVE NW, WASHINGTON, DC 20009 USA</t>
  </si>
  <si>
    <t>Earth Future</t>
  </si>
  <si>
    <t>Environmental Sciences; Geosciences, Multidisciplinary; Meteorology &amp; Atmospheric Sciences</t>
  </si>
  <si>
    <t>Environmental Sciences &amp; Ecology; Geology; Meteorology &amp; Atmospheric Sciences</t>
  </si>
  <si>
    <t>ZL1XA</t>
  </si>
  <si>
    <t>Green Published, gold</t>
  </si>
  <si>
    <t>Agent-based modeling; Water consumption behavior; Urban water demand management; Tehran</t>
  </si>
  <si>
    <t>RESOURCES; FRAMEWORK; SUPPORT</t>
  </si>
  <si>
    <t>One of the main parts of urban water consumption is residential water use. In this paper, a new framework based on agent-based modeling is introduced to simulate the behavioral characteristics of residential water users and their social interactions. The proposed framework, as a decision making tool, can be used for evaluating responses of domestic water users to some factors such as social consciousness about hydrologic conditions, water pricing, and advertising policies as well as social interactions and communications. To illustrate the practical utility of the framework, it is applied to the western part of Tehran metropolitan city in Iran. The results show that increasing water price and investing on advertisement can be considered as effective strategies for managing residential water consumption in the study area. (C) 2017 Elsevier B.V. All rights reserved.</t>
  </si>
  <si>
    <t>[Darbandsari, Pedram; Kerachian, Reza; Malakpour-Estalaki, Siamak] Univ Tehran, Coll Engn, Sch Civil Engn, Tehran, Iran; [Kerachian, Reza] Univ Tehran, Coll Engn, Ctr Excellence Engn &amp; Management Civil Infrastruc, Tehran, Iran; [Darbandsari, Pedram] McMaster Univ, Dept Civil Engn, Hamilton, ON, Canada</t>
  </si>
  <si>
    <t>Kerachian, R (corresponding author), Univ Tehran, Coll Engn, Sch Civil Engn, Tehran, Iran.;Kerachian, R (corresponding author), Univ Tehran, Coll Engn, Ctr Excellence Engn &amp; Management Civil Infrastruc, Tehran, Iran.</t>
  </si>
  <si>
    <t>darbandp@mcmaster.ca; kerachian@ut.ac.ir; malakpour@ut.ac.ir</t>
  </si>
  <si>
    <t>SIMUL MODEL PRACT TH</t>
  </si>
  <si>
    <t>Simul. Model. Pract. Theory</t>
  </si>
  <si>
    <t>FI8MI</t>
  </si>
  <si>
    <t>household water consumption; intermittent supply; water tankers; socio-hydrology; hydro-economics; agent-based model; water scarcity; demand-side policies; consumer surplus; long-term sustainability; Jordan</t>
  </si>
  <si>
    <t>DEMAND; CHALLENGES</t>
  </si>
  <si>
    <t>Jordan faces an archetypal combination of high water scarcity, with a per capita water availability of around 150 m(3) per year significantly below the absolute scarcity threshold of 500 m(3), and strong population growth, especially due to the Syrian refugee crisis. A transition to more sustainable water consumption patterns will likely require Jordan's water authorities to rely more strongly on water demand management in the future. We conduct a case study of the effects of pricing policies, using an agent-based model of household water consumption in Jordan's capital Amman, in order to analyze the distribution of burdens imposed by demand-side policies across society. Amman's households face highly intermittent piped water supply, leading them to supplement it with water from storage tanks and informal private tanker operators. Using a detailed data set of the distribution of supply durations across Amman, our model can derive the demand for additional tanker water. We find that integrating these different supply sources into our model causes demand-side policies to have strongly heterogeneous effects across districts and income groups. This highlights the importance of a disaggregated perspective on water policy impacts in order to identify and potentially mitigate excessive burdens.</t>
  </si>
  <si>
    <t>[Klassert, Christian; Sigel, Katja; Gawel, Erik; Klauer, Bernd] UFZ Helmholtz Ctr Environm Res, Dept Econ, D-04318 Leipzig, Germany; [Klassert, Christian; Gawel, Erik] Univ Leipzig, Fac Econ &amp; Business Management, Inst Infrastruct &amp; Resources Management, D-04109 Leipzig, Germany</t>
  </si>
  <si>
    <t>Klassert, C (corresponding author), UFZ Helmholtz Ctr Environm Res, Dept Econ, Permoserstr 15, D-04318 Leipzig, Germany.</t>
  </si>
  <si>
    <t>christian.klassert@ufz.de; katja.sigel@ufz.de; erik.gawel@ufz.de; bernd.klauer@ufz.de</t>
  </si>
  <si>
    <t>US National Science Foundation [GEO/OAD-1342869]; Deutsche Forschungsgemeinschaft (German Research Foundation); Directorate For Geosciences [1342869] Funding Source: National Science Foundation</t>
  </si>
  <si>
    <t>US National Science Foundation(National Science Foundation (NSF)); Deutsche Forschungsgemeinschaft (German Research Foundation)(German Research Foundation (DFG)); Directorate For Geosciences(National Science Foundation (NSF)NSF - Directorate for Geosciences (GEO))</t>
  </si>
  <si>
    <t>This work was conducted as part of the Belmont Forum water security theme for which coordination was supported by the US National Science Foundation under grant GEO/OAD-1342869 to Stanford University. Any opinions, findings, and conclusions or recommendations expressed in this material are those of the authors and do not necessarily reflect the views of the National Science Foundation.; The authors of this work would like to acknowledge support from the Deutsche Forschungsgemeinschaft (German Research Foundation). Any opinions, findings, and conclusions or recommendations expressed in this material also do not necessarily reflect the views of the Deutsche Forschungsgemeinschaft.</t>
  </si>
  <si>
    <t>MDPI</t>
  </si>
  <si>
    <t>ST ALBAN-ANLAGE 66, CH-4052 BASEL, SWITZERLAND</t>
  </si>
  <si>
    <t>CP5CL</t>
  </si>
  <si>
    <t>Green Submitted, gold, Green Published</t>
  </si>
  <si>
    <t>agent-based modeling; water conservation; technology diffusion; social networks</t>
  </si>
  <si>
    <t>DEMAND-SIDE MANAGEMENT; PRICE ELASTICITY; SOCIAL NETWORKS; CLASSIFICATION; DIFFUSION; FRAMEWORK; BEHAVIOR; POLICIES; COMPLEX</t>
  </si>
  <si>
    <t>More than one billion people will face water scarcity within the next ten years due to climate change and unsustainable water usage, and this number is only expected to grow exponentially in the future. At current water use rates, supply-side demand management is no longer an effective way to combat water scarcity. Instead, many municipalities and water agencies are looking to demand-side solutions to prevent major water loss. While changing conservation behavior is one demand-based strategy, there is a growing movement toward the adoption of water conservation technology as a way to solve water resource depletion. Installing technology into one's household requires additional costs and motivation, creating a gap between the overall potential households that could adopt this technology, and how many actually do. This study identified and modeled a variety of demographic and household characteristics, social network influence, and external factors such as water price and rebate policy to see their effect on residential water conservation technology adoption. Using Agent-based Modeling and data obtained from the City of Miami Beach, the coupled effects of these factors were evaluated to examine the effectiveness of different pathways towards the adoption of more water conservation technologies. The results showed that income growth and water pricing structure, more so than any of the demographic or building characteristics, impacted household adoption of water conservation technologies. The results also revealed that the effectiveness of rebate programs depends on conservation technology cost and the affluence of the community. Rebate allocation did influence expensive technology adoption, with the potential to increase the adoption rate by 50%. Additionally, social network connections were shown to have an impact on the rate of adoption independent of price strategy or rebate status. These findings will lead the way for municipalities and other water agencies to more strategically implement interventions to encourage household technology adoption based on the characteristics of their communities.</t>
  </si>
  <si>
    <t>[Rasoulkhani, Kambiz; Mostafavi, Ali] Texas A&amp;M Univ, Zachry Dept Civil Engn, College Stn, TX 77843 USA; [Logasa, Brianne] Univ Calif Los Angeles, Luskin Sch Publ Affairs, Los Angeles, CA 90095 USA; [Reyes, Maria Presa] Florida Int Univ, Sch Comp &amp; Informat Sci, Miami, FL 33199 USA</t>
  </si>
  <si>
    <t>Rasoulkhani, K (corresponding author), Texas A&amp;M Univ, Zachry Dept Civil Engn, College Stn, TX 77843 USA.</t>
  </si>
  <si>
    <t>kambiz.r@tamu.edu; blogasa@g.ucla.edu; mpres029@cs.fiu.edu; amostafavi@civil.tamu.edu</t>
  </si>
  <si>
    <t>National Science Foundation (NSF) [1444758]</t>
  </si>
  <si>
    <t>National Science Foundation (NSF)(National Science Foundation (NSF))</t>
  </si>
  <si>
    <t>This research was funded by the National Science Foundation (NSF) under Grant Number 1444758.</t>
  </si>
  <si>
    <t>GY3OR</t>
  </si>
  <si>
    <t>Nexus of water and energy; House appliances; Consumption behaviour; Agent-based modelling; Activity-based modelling</t>
  </si>
  <si>
    <t>RESIDENTIAL WATER; END-USE; TECHNOLOGY ADOPTION; DEMAND MANAGEMENT; DOMESTIC ENERGY; CONSERVATION; FRAMEWORK; NEXUS; CONSUMPTION; EFFICIENCY</t>
  </si>
  <si>
    <t>Water and energy consumptions in the residential sector are highly correlated. A better understanding of the correlation would help save both water and energy, for example, through technological innovations, management and policies. Recently, there is an increasing need for a higher spatiotemporal resolution in the analysis and modelling of water-energy demand, as the results would be more useful for policy analysis and infrastructure planning in both water and energy systems. In response, this paper developed an agent-based spatiotemporal integrated approach to simulate the water-energy consumption of each household or person agent in second throughout a whole day, considering the influences of out-ofhome activities (e.g., work and shopping) on in-home activities (e.g., bathing, cooking and cleaning). The integrated approach was tested in the capital of China, Beijing. The temporal results suggested that the 24-hour distributions of water and related energy consumptions were quite similar, and the waterenergy consumptions were highly correlated (with a Pearson correlation coefficient of 0.89); The spatial results suggested that people living in the central districts and the central areas of the outer districts tended to consume more water and related energy, and also the water-energy correlation varies across space. Such spatially and temporally explicit results are expected to be useful for policy making (e.g., time-of-use tariffs) and infrastructure planning and optimization in both water and energy sectors. (C) 2019 Elsevier B.V. All rights reserved.</t>
  </si>
  <si>
    <t>[Zhuge, Chengxiang] Hong Kong Polytech Univ, Dept Land Surveying &amp; Geoinformat, Kowloon, Hong Kong, Peoples R China; [Zhuge, Chengxiang] Univ East Anglia, Tyndall Ctr Climate Change Res, Norwich NR1 7TJ, England; [Zhuge, Chengxiang] Univ Cambridge, Dept Geog, Downing Pl, Cambridge CB2 3EN, England; [Yu, Min; Wang, Chunyan; Cui, Yilan; Liu, Yi] Tsinghua Univ, Sch Environm, Beijing 100084, Peoples R China; [Yu, Min] Dev Res Ctr State Council, Inst Resources &amp; Environm Policies, Beijing 100010, Peoples R China</t>
  </si>
  <si>
    <t>Liu, Y (corresponding author), Tsinghua Univ, Sch Environm, Beijing 100084, Peoples R China.</t>
  </si>
  <si>
    <t>yi.liu@mail.tsinghua.edu.cn</t>
  </si>
  <si>
    <t>Zhuge, Chengxiang/0000-0002-9942-3462; Wang, Chunyan/0000-0001-5650-5399</t>
  </si>
  <si>
    <t>Hong Kong Polytechnic University [1-BE2J]; ERC [678799]; National Natural Science Foundation of China [71974110, 71774096]</t>
  </si>
  <si>
    <t>Hong Kong Polytechnic University(Hong Kong Polytechnic University); ERC(European Research Council (ERC)European Commission); National Natural Science Foundation of China(National Natural Science Foundation of China (NSFC))</t>
  </si>
  <si>
    <t>This work was supported by the Hong Kong Polytechnic University [1-BE2J], the ERC Starting Grant #678799 for the SILCI project (Social Influence and disruptive Low Carbon Innovation) and the National Natural Science Foundation of China [Grant Numbers: 71974110; 71774096].</t>
  </si>
  <si>
    <t>SCI TOTAL ENVIRON</t>
  </si>
  <si>
    <t>Sci. Total Environ.</t>
  </si>
  <si>
    <t>Environmental Sciences</t>
  </si>
  <si>
    <t>Environmental Sciences &amp; Ecology</t>
  </si>
  <si>
    <t>KB0TV</t>
  </si>
  <si>
    <t>Green Accepted</t>
  </si>
  <si>
    <t>Multiagent systems; residential water use</t>
  </si>
  <si>
    <t>SIMULATED PLANT-POPULATIONS; ECOLOGICAL FIELD-THEORY; P-MEDIAN PROBLEM; DYNAMICS; MODELS; GROWTH; INTERFERENCE; TREES</t>
  </si>
  <si>
    <t>In arid and semi-arid regions, landscaping can reduce the energy use of a home and generate a more pleasing environment for the home's residents. However, water in these regions is a scarce resource, which makes landscaping a trade-off between conflicting objectives maximizing the growth on the landscape while minimizing the water use. This paper presents a new system, called AgentScapes, that uses agent-based modelling and distributed optimization to design water-conserving residential landscapes. The agent-based model included in AgentScapes combines the basic ideas of local search and the specifics of how plant communities emerge based on individual plant-plant interactions and responses to resources available on the landscape. Agents in this model are plants with different light and water requirements placed on a simulated landscape with specified light and water conditions. Individual plant agents in desirable locations survive, while struggling agents die off and re-emerge in a new location. These interactions enable each plant agent to search for a location that maximizes its growth and minimizes its water use. The agent-based model generates solutions that are within 95 percent of optimal in a fraction of the time required for exhaustive search solutions. In addition, the agent model is able to reproduce heuristics for low-water garden design and present a new option for reducing water use.</t>
  </si>
  <si>
    <t>[Hoenigman, Rhonda; Bradley, Elizabeth] Univ Colorado, Dept Comp Sci, Boulder, CO 80309 USA; [Barger, Nichole] Univ Colorado, Dept Ecol &amp; Evolut Biol, Boulder, CO 80309 USA</t>
  </si>
  <si>
    <t>Hoenigman, R (corresponding author), Univ Colorado, Dept Comp Sci, Boulder, CO 80309 USA.</t>
  </si>
  <si>
    <t>Rhonda.Hoenigman@colorado.edu; lizb@colorado.edu; nichole.barger@colorado.edu</t>
  </si>
  <si>
    <t>ASSOC COMPUTING MACHINERY</t>
  </si>
  <si>
    <t>1515 BROADWAY, NEW YORK, NY 10036-9998 USA</t>
  </si>
  <si>
    <t>Computer Science, Artificial Intelligence; Computer Science, Theory &amp; Methods; Mathematics, Applied</t>
  </si>
  <si>
    <t>Computer Science; Mathematics</t>
  </si>
  <si>
    <t>BGA53</t>
  </si>
  <si>
    <t>Moss, S; Edmonds, B</t>
  </si>
  <si>
    <t>AMERICAN JOURNAL OF SOCIOLOGY</t>
  </si>
  <si>
    <t>MARKETS; EMBEDDEDNESS; HYPOTHESIS; US</t>
  </si>
  <si>
    <t>Agent-based simulation modeling enables the construction of formal models that simultaneously can be microvalidated against accounts of individual behavior and macrovalidated against aggregate data that show the characteristics of many socially derived time series. These characteristics ( leptokurtosis and clustered volatility) have two important consequences: first, they also appear in suitably structured agent-based models where, like real social actors, agents are socially embedded and metastable; second, their presence precludes the use of many standard statistical techniques like the chi-square test. These characteristics in time-series data indicate that a suitable agent-based model rather than a standard statistical model will be appropriate. This is illustrated with an agent-based model of mutual social influence on domestic water demand. The consequences for many frequently used statistical techniques are discussed.</t>
  </si>
  <si>
    <t>Manchester Metropolitan Univ, Ctr Policy Modelling, Manchester M1 3GH, Lancs, England</t>
  </si>
  <si>
    <t>Moss, S (corresponding author), Manchester Metropolitan Univ, Ctr Policy Modelling, Aytoun Bldg, Manchester M1 3GH, Lancs, England.</t>
  </si>
  <si>
    <t>Scott@cfpm.org</t>
  </si>
  <si>
    <t>UNIV CHICAGO PRESS</t>
  </si>
  <si>
    <t>CHICAGO</t>
  </si>
  <si>
    <t>1427 E 60TH ST, CHICAGO, IL 60637-2954 USA</t>
  </si>
  <si>
    <t>0002-9602</t>
  </si>
  <si>
    <t>1537-5390</t>
  </si>
  <si>
    <t>AM J SOCIOL</t>
  </si>
  <si>
    <t>Am. J. Sociol.</t>
  </si>
  <si>
    <t>Sociology</t>
  </si>
  <si>
    <t>Social Science Citation Index (SSCI)</t>
  </si>
  <si>
    <t>931FU</t>
  </si>
  <si>
    <t>Green Submitted</t>
  </si>
  <si>
    <t>WOS:000229472000009</t>
  </si>
  <si>
    <t>Article; Proceedings Paper</t>
  </si>
  <si>
    <t>A new approach is suggested under the slogan Keep it Descriptive Stupid (KIDS) that encapsulates a trend in increasingly descriptive agent-based social simulation. The KIDS approach entails one starts with the simulation model that relates to the target phenomena in the most straightforward way possible, taking into account the widest possible range of evidence, including anecdotal accounts and expert opinion. Simplification is only applied if and when the model and evidence justify this. This contrasts sharply with the KISS approach where one starts with the simplest possible model and only moves to a more complex one if forced to. An example multi-agent simulation of domestic water demand and social influence is described.</t>
  </si>
  <si>
    <t>Manchester Metropolitan Univ, Ctr Policy Modelling, Manchester M15 6BH, Lancs, England</t>
  </si>
  <si>
    <t>Edmonds, B (corresponding author), Manchester Metropolitan Univ, Ctr Policy Modelling, Manchester M15 6BH, Lancs, England.</t>
  </si>
  <si>
    <t>SPRINGER-VERLAG BERLIN</t>
  </si>
  <si>
    <t>BERLIN</t>
  </si>
  <si>
    <t>HEIDELBERGER PLATZ 3, D-14197 BERLIN, GERMANY</t>
  </si>
  <si>
    <t>LECT NOTES COMPUT SC</t>
  </si>
  <si>
    <t>Computer Science, Artificial Intelligence; Computer Science, Theory &amp; Methods</t>
  </si>
  <si>
    <t>Conference Proceedings Citation Index - Science (CPCI-S); Science Citation Index Expanded (SCI-EXPANDED)</t>
  </si>
  <si>
    <t>BCF14</t>
  </si>
  <si>
    <t>END-USE MODEL; RESOURCE USE; DEMAND; DIFFUSION; CONSUMPTION; SIMULATION; CHOICE; URBANIZATION; INNOVATION; DYNAMICS</t>
  </si>
  <si>
    <t>In this work we demonstrate that the combination of agent-based modeling and simulation constitutes a useful methodological approach to dealing with the complexity derived from multiple factors with influence in the domestic water management in emergent metropolitan areas. In particular, we adapt and integrate different social submodels, models of urban dynamics, water consumption, and technological and opinion diffusion, in an agent-based model that is, in turn, linked with a geographic information system. The result is a computational environment that enables simulating and comparing various water demand scenarios. We have parameterized our general model for the metropolitan area of Valladolid (Spain). The model shows the influence of urban dynamics (e.g., intrapopulation movements, residence typology, and changes in the territorial model) and other socio-geographic effects (technological and opinion dynamics) in domestic water demand. The conclusions drawn in this way would have been difficult to obtain using other approaches, such as conventional forecasting methods, given the need to integrate different socioeconomic and geographic aspects in one single model. We illustrate that the described methodology can complement conventional approaches, providing descriptive and formal additional insights into domestic water demand management problems.</t>
  </si>
  <si>
    <t>[Galan, Jose M.; del Olmo, Ricardo] Univ Burgos, Dept Civil Engn, E-09001 Burgos, Spain; [Lopez-Paredes, Adolfo] Dept Org Empresas, E-47011 Valladolid, Spain; [Lopez-Paredes, Adolfo] CIM Valladolid, E-47011 Valladolid, Spain</t>
  </si>
  <si>
    <t>Galan, JM (corresponding author), Univ Burgos, Dept Civil Engn, E-09001 Burgos, Spain.</t>
  </si>
  <si>
    <t>jmgalan@ubu.es</t>
  </si>
  <si>
    <t>WATER RESOUR RES</t>
  </si>
  <si>
    <t>Water Resour. Res.</t>
  </si>
  <si>
    <t>Environmental Sciences; Limnology; Water Resources</t>
  </si>
  <si>
    <t>Environmental Sciences &amp; Ecology; Marine &amp; Freshwater Biology; Water Resources</t>
  </si>
  <si>
    <t>440CS</t>
  </si>
  <si>
    <t>Bronze</t>
  </si>
  <si>
    <t>Agent-based modeling; ABM; Diarrhea; Ceramic water filters; Africa; Point-of-use; WASH; Water quality; Household water treatment; POU; HWT; Complex systems; Developing country; ECD</t>
  </si>
  <si>
    <t>POINT-OF-USE; HOUSEHOLD DRINKING-WATER; CONTROLLED-TRIAL; HYGIENE INTERVENTIONS; DEVELOPING-COUNTRIES; DIARRHEAL DISEASE; LIMPOPO PROVINCE; TRANSMISSION; SANITATION; SIMULATION</t>
  </si>
  <si>
    <t>Ceramic water filters (CWFs) are a point-of-use water treatment technology that has shown promise in preventing early childhood diarrhea (ECD) in resource-limited settings. Despite this promise, some researchers have questioned their ability to reduce ECD incidences over the long term since most effectiveness trials conducted to date are less than one year in duration limiting their ability to assess long-term sustainability factors. Most trials also suffer from lack of blinding making them potentially biased. This study uses an agentbased model (ABM) to explore factors related to the long-term sustainability of CWFs in preventing ECD and was based on a three year longitudinal field study. Factors such as filter user compliance, microbial removal effectiveness, filter cleaning and compliance declines were explored. Modeled results indicate that broadly defined human behaviors like compliance and declining microbial effectiveness due to improper maintenance are primary drivers of the outcome metrics of household drinking water quality and ECD rates. The model predicts that a ceramic filter intervention can reduce ECD incidence amongst under two year old children by 41.3%. However, after three years, the average filter is almost entirely ineffective at reducing ECD incidence due to declining filter microbial removal effectiveness resulting from improper maintenance. The model predicts very low ECD rates are possible if compliance rates are 80-90%, filter log reduction efficiency is 3 or greater and there are minimal long-term compliance declines. Cleaning filters at least once every 4 months makes it more likely to achieve very low ECD rates as does the availability of replacement filters for purchase. These results help to understand the heterogeneity seen in previous intervention-control trials and reemphasize the need for researchers to accurately measure confounding variables and ensure that field trials are at least 2-3 years in duration. In summary, the CWF can be a highly effective tool in the fight against ECD, but every effort should be made by implementing agencies to ensure consistent use and maintenance. (C) 2013 Elsevier Ltd. All rights reserved.</t>
  </si>
  <si>
    <t>[Mellor, Jonathan; Abebe, Lydia; Ehdaie, Beeta; Smith, James] Univ Virginia, Dept Civil &amp; Environm Engn, Charlottesville, VA 22904 USA; [Dillingham, Rebecca] Univ Virginia Hlth Syst, Ctr Global Hlth, Charlottesville, VA 22908 USA</t>
  </si>
  <si>
    <t>Mellor, J (corresponding author), Yale Univ, Dept Chem &amp; Environm Engn, POB 208286, New Haven, CT 06520 USA.</t>
  </si>
  <si>
    <t>jem3w@virginia.edu</t>
  </si>
  <si>
    <t>Fogarty International Center at the National Institutes of Health; American Reinvestment and Recovery Act (ARRA) [1R25TW007518-03S1, 1R24TW008798]; NIH National Institute of Allergy and Infectious Diseases (NIAID) [K23AI077339]; STAR Fellowship [FP91728601]; National Science Foundation [EEC 1156999]; FOGARTY INTERNATIONAL CENTER [R25TW007518, R24TW008798] Funding Source: NIH RePORTER; NATIONAL INSTITUTE OF ALLERGY AND INFECTIOUS DISEASES [K23AI077339, T32AI007046] Funding Source: NIH RePORTER</t>
  </si>
  <si>
    <t>Fogarty International Center at the National Institutes of Health(United States Department of Health &amp; Human ServicesNational Institutes of Health (NIH) - USANIH Fogarty International Center (FIC)); American Reinvestment and Recovery Act (ARRA); NIH National Institute of Allergy and Infectious Diseases (NIAID)(United States Department of Health &amp; Human ServicesNational Institutes of Health (NIH) - USANIH National Institute of Allergy &amp; Infectious Diseases (NIAID)); STAR Fellowship; National Science Foundation(National Science Foundation (NSF)); FOGARTY INTERNATIONAL CENTER(United States Department of Health &amp; Human ServicesNational Institutes of Health (NIH) - USANIH Fogarty International Center (FIC)); NATIONAL INSTITUTE OF ALLERGY AND INFECTIOUS DISEASES(United States Department of Health &amp; Human ServicesNational Institutes of Health (NIH) - USANIH National Institute of Allergy &amp; Infectious Diseases (NIAID))</t>
  </si>
  <si>
    <t>This research was supported by the Fogarty International Center at the National Institutes of Health and American Reinvestment and Recovery Act (ARRA) funding (Grant numbers 1R25TW007518-03S1 and 1R24TW008798) and an NIH National Institute of Allergy and Infectious Diseases (NIAID) mentored patient-oriented research career development award: K23AI077339. It was also developed under STAR Fellowship Assistance Agreement no. FP91728601 awarded by the U.S. Environmental Protection Agency (EPA). It has not been formally reviewed by EPA. The views expressed in this publication are solely those of the authors, and EPA does not endorse any products or commercial services mentioned in this publication. It was also supported by National Science Foundation Grant EEC 1156999. Univen students Elly Mboneni and Kwathiso Netshifhefhe were integral to our efforts. Finally, we would like to thank all of the other members of the Water and Health in Limpopo Project whose framework made this work possible.</t>
  </si>
  <si>
    <t>PERGAMON-ELSEVIER SCIENCE LTD</t>
  </si>
  <si>
    <t>THE BOULEVARD, LANGFORD LANE, KIDLINGTON, OXFORD OX5 1GB, ENGLAND</t>
  </si>
  <si>
    <t>WATER RES</t>
  </si>
  <si>
    <t>Water Res.</t>
  </si>
  <si>
    <t>302JS</t>
  </si>
  <si>
    <t>diffusion of innovations; inter-household linkages; policy analysis; multi-agent systems; cellular automata</t>
  </si>
  <si>
    <t>This paper presents a spatial multi-agent programming model, which has been developed for assessing policy options in the diffusion of innovations and resource use changes. Unlike conventional simulation tools used in agricultural economics, the model class described here applies a multi-agent/cellular automata (CA) approach by using heterogeneous farm-household models and capturing their social and spatial interactions explicitly. The individual choice of the farm-household among available production, consumption, investment and marketing alternatives is represented in recursive linear programming models. Adoption constraints are introduced in form of network-threshold values that reflect the cumulative effects of experience and observation of peers' experiences. The model's economic and hydrologic components are tightly connected into a spatial framework. The integration of economic and hydrologic processes facilitates the, consideration of feedback effects in the use of water for irrigation. The simulation runs of the model are carried out with an empirical data set, which has been derived from various data sources on an agricultural region in Chile. Simulation results show that agent-based spatial modelling constitutes a powerful approach to better understanding processes of innovation and resource use change. (C) 2001 Elsevier Science BN. All rights reserved.</t>
  </si>
  <si>
    <t>Univ Bonn, Ctr Dev Res, ZEF Bonn, D-53113 Bonn, Germany</t>
  </si>
  <si>
    <t>Berger, T (corresponding author), Univ Bonn, Ctr Dev Res, ZEF Bonn, Walter Flex St 3, D-53113 Bonn, Germany.</t>
  </si>
  <si>
    <t>t.berger@uni-bonn.de</t>
  </si>
  <si>
    <t>WILEY-BLACKWELL</t>
  </si>
  <si>
    <t>HOBOKEN</t>
  </si>
  <si>
    <t>111 RIVER ST, HOBOKEN 07030-5774, NJ USA</t>
  </si>
  <si>
    <t>AGR ECON-BLACKWELL</t>
  </si>
  <si>
    <t>Agric. Econ.</t>
  </si>
  <si>
    <t>Agricultural Economics &amp; Policy; Economics</t>
  </si>
  <si>
    <t>Science Citation Index Expanded (SCI-EXPANDED); Social Science Citation Index (SSCI); Conference Proceedings Citation Index - Social Science &amp;amp; Humanities (CPCI-SSH); Conference Proceedings Citation Index - Science (CPCI-S)</t>
  </si>
  <si>
    <t>Agriculture; Business &amp; Economics</t>
  </si>
  <si>
    <t>494DV</t>
  </si>
  <si>
    <t>rainwater harvesting; water trading; dual reticulation; decentralized water supply; water distribution system; agent-based modeling; urban water management; smart city</t>
  </si>
  <si>
    <t>AGENT-BASED MODEL; ECONOMIC INCENTIVES; MONTEREY PENINSULA; BLOCKCHAIN TECHNOLOGY; SPATIAL VARIABILITY; SIDE MANAGEMENT; RECLAIMED WATER; WASTE-WATER; SUPPLY-SIDE; DEMAND-SIDE</t>
  </si>
  <si>
    <t>Water availability is increasingly stressed in cities across the world due to population growth, which increases demands, and climate change, which can decrease supply. Novel water markets and water supply paradigms are emerging to address water shortages in the urban environment. This research develops a new peer-to-peer non-potable water market that allows households to capture, use, sell, and buy rainwater within a network of water users. A peer-to-peer non-potable water market, as envisioned in this research, would be enabled by existing and emerging technologies. A dual reticulation system, which circulates non-potable water, serves as the backbone for the water trading network by receiving water from residential rainwater tanks and distributing water to households for irrigation purposes. Prosumer households produce rainwater by using cisterns to collect and store rainwater and household pumps to inject rainwater into the network at sufficiently high pressures. The smart water grid would be enabled through an array of information and communication technologies that provide capabilities for automated and real-time metering of water flow, control of infrastructure, and trading between households. The goal of this manuscript is to explore and test the hydraulic feasibility of a micro-trading system through an agent-based modeling approach. Prosumer households are represented as agents that store rainwater and pump rainwater into the network; consumer households are represented as agents that withdraw water from the network for irrigation demands. An all-pipe hydraulic model is constructed and loosely coupled with the agent-based model to simulate network hydraulics. A set of scenarios are analyzed to explore how micro-trading performs based on the level of irrigation demands that could realistically be met through decentralized trading; pressure and energy requirements at prosumer households; pressure and water quality in the pipe network.</t>
  </si>
  <si>
    <t>[Ramsey, Elizabeth; Pesantez, Jorge; Fasaee, Mohammad Ali Khaksar; DiCarlo, Morgan; Monroe, Jacob; Berglund, Emily Zechman] North Carolina State Univ, Civil Construct &amp; Environm Engn, Raleigh, NC 27695 USA</t>
  </si>
  <si>
    <t>Ramsey, E (corresponding author), North Carolina State Univ, Civil Construct &amp; Environm Engn, Raleigh, NC 27695 USA.</t>
  </si>
  <si>
    <t>evramsey@ncsu.edu; jpesant@ncsu.edu; mkhaksa@ncsu.edu; mdicarl@ncsu.edu; jgmonroe@ncsu.edu; emily_berglund@ncsu.edu</t>
  </si>
  <si>
    <t>Pesantez, Jorge/AAV-1915-2021; Nikoo, Mohammad Reza/AAL-4218-2020; Pesantez, Jorge/AAO-9575-2021; Nikoo, Mohammad Reza/AAY-7583-2021</t>
  </si>
  <si>
    <t>Nikoo, Mohammad Reza/0000-0002-3740-4389; Pesantez, Jorge/0000-0002-1537-6006; Ramsey, Elizabeth/0000-0002-8704-633X; Khaksar Fasaee, Mohammad Ali/0000-0003-1544-6171; DiCarlo, Morgan/0000-0003-1322-1948</t>
  </si>
  <si>
    <t>North Carolina State University</t>
  </si>
  <si>
    <t>This work was supported in part by North Carolina State University through a 2019 University of Adelaid-NC State Starter Grant.</t>
  </si>
  <si>
    <t>OZ4CV</t>
  </si>
  <si>
    <t>gold</t>
  </si>
  <si>
    <t>Natl Engn Lab E Commerce Technologies,Assoc Crowd Sci &amp; Engn,Natl Technol Univ,Joint NTU UBC Res Ctr Excellence Act Living Elderly,Univ British Columbia,Shandong Univ,China Ctr Internet Econ Res</t>
  </si>
  <si>
    <t>Urban sustainable development; WEF(water, energy and food); Multi-Agent Model; Simulation</t>
  </si>
  <si>
    <t>Water, energy and food are basic resource for sustainable urban development. It has been acknowledged that there are numerous complex non-linear interconnections among them, or called WEF-Nexus, meaning that any strategies that focus on single resource would lead to unexpected results. As one of the most effective tools for simulating the complex system, Agent-Based Modeling has a unique advantage in optimizing WEF allocation and promoting its use efficiency at the city level. Basing on characters of various agents in a complex urban system, this paper first divides various agents into three types: household, firm and government, which are all living in the same urban space and sharing independent but competitive demand for WEF resources respectively. And then under the guidance of behavior rules for household, firm and government agents, Netlogo programmable modeling environment are proposing to explore the complex interaction between those three agents in the process of WEF production and consumption. On the basis of WEF-Nexus with different agents, we finally build a new Multi-Agent Model, and conclude that by setting some sustainable development goals, this model can effectively simulate the urban WEF consumption pattern and its dynamic changes with the evolution of time.</t>
  </si>
  <si>
    <t>[Li Guijun; Wang Yongsheng; Huang Daohan] Cent Univ Finance &amp; Econ, Sch Management Sci &amp; Engn, Beijing, Peoples R China; [Yang Hongtao] East China Univ Sci &amp; Technol, Sch Business, Shanghai, Peoples R China</t>
  </si>
  <si>
    <t>Li, GJ (corresponding author), Cent Univ Finance &amp; Econ, Sch Management Sci &amp; Engn, Beijing, Peoples R China.</t>
  </si>
  <si>
    <t>ligj@cufe.edu.cn; wangysforever@163.com; hdh612@163.com; hityang@163.com</t>
  </si>
  <si>
    <t>National Nature Science Foundation of China [71473285]</t>
  </si>
  <si>
    <t>National Nature Science Foundation of China(National Natural Science Foundation of China (NSFC))</t>
  </si>
  <si>
    <t>This research supported by National Nature Science Foundation of China, project is 'Establishing and Application of System Dynamics Model on Water-Energy-Food Nexus in Typical Area in China',No. 71473285.</t>
  </si>
  <si>
    <t>Computer Science, Information Systems; Computer Science, Interdisciplinary Applications</t>
  </si>
  <si>
    <t>BJ6EJ</t>
  </si>
  <si>
    <t>Complex adaptive system; Diffusion of innovations; Dual water system; Sociotechnical transition; Urban water management; Water reuse; Eco-innovation</t>
  </si>
  <si>
    <t>ENERGY TECHNOLOGY ADOPTION; URBAN WATER; SOCIAL AMPLIFICATION; RISK PERCEPTION; DIFFUSION; STRATEGIES; INNOVATION; FRAMEWORK; BEHAVIOR; IMPACT</t>
  </si>
  <si>
    <t>The introduction of water reuse infrastructure into an existing water supply system is a complex sociotechnical process. For a dual reticulation program, infrastructure designs affect adoption, as the expansion of infrastructure defines when a household can adopt and become active in communicating about water reuse. This research develops a coupled framework to capture the dynamics among consumer adoption and infrastructure expansion. An agent-based modeling approach is used to simulate opinion dynamics within a risk publics framework, which is based on the social amplification of risk and captures changes in perceptions about the risks and benefits of water reuse. The model is applied to simulate and project adoption of water reuse for the Town of Cary, North Carolina, using data about new water reclamation accounts and plans for infrastructure expansion. Performance of the agent-based model is compared with a cellular automata model for simulating historic data. Alternative infrastructure expansion schedules are simulated using the agent-based model to evaluate potable water savings and utilization of reclaimed water capacity, based on adoption projections. The framework provides a sociotechnical approach to evaluate development plans for infrastructure systems that rely on adoption of infrastructure-dependent technologies.</t>
  </si>
  <si>
    <t>[Kandiah, Venu K.; Berglund, Emily Z.] North Carolina State Univ, Dept Civil Construct &amp; Environm Engn, Campus Box 7908, Raleigh, NC 27695 USA; [Binder, Andrew R.] North Carolina State Univ, Dept Commun, Campus Box 8104, Raleigh, NC 27695 USA</t>
  </si>
  <si>
    <t>Berglund, EZ (corresponding author), North Carolina State Univ, Dept Civil Construct &amp; Environm Engn, Campus Box 7908, Raleigh, NC 27695 USA.</t>
  </si>
  <si>
    <t>vkkandia@ncsu.edu; emily_berglund@ncsu.edu</t>
  </si>
  <si>
    <t>National Science Foundation [1233197]</t>
  </si>
  <si>
    <t>This material is based upon work supported by the National Science Foundation under Grant No. 1233197.</t>
  </si>
  <si>
    <t>SUSTAIN CITIES SOC</t>
  </si>
  <si>
    <t>Sust. Cities Soc.</t>
  </si>
  <si>
    <t>Construction &amp; Building Technology; Green &amp; Sustainable Science &amp; Technology; Energy &amp; Fuels</t>
  </si>
  <si>
    <t>Construction &amp; Building Technology; Science &amp; Technology - Other Topics; Energy &amp; Fuels</t>
  </si>
  <si>
    <t>HN2UH</t>
  </si>
  <si>
    <t>agent-based modelling; policy-design tools; scenario simulation; water use modelling; socio-hydrology</t>
  </si>
  <si>
    <t>VALUES; BEHAVIOR; CLIMATE; INFORMATION; POPULATION; DYNAMICS; METER</t>
  </si>
  <si>
    <t>In this paper, we present an agent-based model for exploring the interplay of basic structural and socio-cognitive factors and conventional water saving measures in the evolution of domestic water use in metropolitan areas. Using data of Barcelona, we discuss three scenarios that involve plausible demographic and cultural trends. Results show that, in the three scenarios, aggregate outcomes are consistent with available conventional modelling (while total water use grows, per capita water use declines); however, the agent-based simulation also reveals, for each scenario, the different dynamics of simple policy measures with population growth, cultural trends and social influence; thus providing unexpected insights for policy design.</t>
  </si>
  <si>
    <t>[Perello-Moragues, Antoni; Poch, Manel; Popartan, Lucia Alexandra] Univ Girona, Inst Environm, LEQUIA, Girona 17004, Catalonia, Spain; [Perello-Moragues, Antoni; Noriega, Pablo] UAB, IIIA, CSIC, Artificial Intelligence Inst,Spanish Natl Res Cou, Bellaterra 08193, Catalonia, Spain; [Sauri, David] Autonomous Univ Barcelona UAB, Dept Geog, Bellaterra 08193, Catalonia, Spain</t>
  </si>
  <si>
    <t>Popartan, LA (corresponding author), Univ Girona, Inst Environm, LEQUIA, Girona 17004, Catalonia, Spain.</t>
  </si>
  <si>
    <t>tperellom@gmail.com; manuel.poch@udg.edu; david.sauri@uab.cat; luciaalexandra.popartan@udg.edu; pablo@iiia.csic.es</t>
  </si>
  <si>
    <t>Noriega, Pablo/0000-0003-1317-2541; Popartan, Lucia Alexandra/0000-0002-2708-9813</t>
  </si>
  <si>
    <t>Retos de la Sociedad Project [CTM2017-83598-R]; Catalan Government [2017-SGR-1552]; CIMBVAL project (Spanish government) [TIN2017-89758-R]; RecerCaixa</t>
  </si>
  <si>
    <t>Retos de la Sociedad Project; Catalan Government; CIMBVAL project (Spanish government); RecerCaixa(La Caixa Foundation)</t>
  </si>
  <si>
    <t>This research has received funding: Manel Poch wants to acknowledge Retos de la Sociedad Project (CTM2017-83598-R). LEQUIA has been recognized as a consolidated research group by the Catalan Government (2017-SGR-1552). Research by the first and fourth authors received support from the CIMBVAL project (Spanish government, project #TIN2017-89758-R) and the AppPhil project (funded by RecerCaixa 2017).</t>
  </si>
  <si>
    <t>RU1DF</t>
  </si>
  <si>
    <t>gold, Green Published</t>
  </si>
  <si>
    <t>Multi-agent simulation; Global change; Regional modelling; Integrated water resources management; Water users; Domestic water demand; Tourism; Interdisciplinary framework approach</t>
  </si>
  <si>
    <t>MANAGEMENT; CLIMATE; SCALE; USERS</t>
  </si>
  <si>
    <t>Within climate change impact research, the consideration of socioeconomic processes remains a challenge. Socioeconomic systems must be equipped to react and adapt to global change. However, any reasonable development or assessment of sustainable adaptation strategies requires a comprehensive consideration of human-environment interactions. This requirement can be met through multi-agent simulation, as demonstrated in the interdisciplinary project GLOWA-Danube (GLObal change of the WAter Cycle; www.glowa-danube.de). GLOWA-Danube has developed an integrated decision support tool for water and land use management in the Upper Danube catchment (parts of Germany and Austria, 77,000 km(2)). The scientific disciplines invoked in the project have implemented sixteen natural and social science models, which are embedded in the simulation framework DANUBIA. Within DANUBIA, a multi-agent simulation approach is used to represent relevant socioeconomic processes. The structure and results of three of these multi-agent models, WaterSupply, Household and Tourism, are presented in this paper. A main focus of the paper is on the development of global change scenarios (climate and society) and their application to the presented models. The results of different simulation runs demonstrate the potential of multi-agent models to represent feedbacks between different water users and the environment. Moreover, the interactive usage of the framework allows to define and vary scenario assumptions so as to assess the impact of potential interventions. It is shown that integrated modelling and scenario design not only provide valuable information, but also offer a platform for discussing complex human-environment-interactions with stakeholders.</t>
  </si>
  <si>
    <t>[Soboll, Anja; Schmude, Juergen] Univ Munich, Dept Geog, D-80333 Munich, Germany; [Elbers, Michael; Ernst, Andreas] Univ Kassel, Ctr Environm Syst Res, D-34109 Kassel, Germany; [Barthel, Roland; Ziller, Ralf] Univ Stuttgart, Inst Hydraul Engn, D-70569 Stuttgart, Germany</t>
  </si>
  <si>
    <t>Soboll, A (corresponding author), Univ Munich, Dept Geog, Luisenstr 37, D-80333 Munich, Germany.</t>
  </si>
  <si>
    <t>anja.soboll@lmu.de</t>
  </si>
  <si>
    <t>Barthel, Roland/F-8723-2011; Ernst, Andreas/D-5869-2012; Schmude, Juergen/K-1692-2013</t>
  </si>
  <si>
    <t xml:space="preserve">Barthel, Roland/0000-0003-2004-6199; </t>
  </si>
  <si>
    <t>German Federal Ministry of Education and Research</t>
  </si>
  <si>
    <t>German Federal Ministry of Education and Research(Federal Ministry of Education &amp; Research (BMBF))</t>
  </si>
  <si>
    <t>The authors acknowledge the German Federal Ministry of Education and Research for financial support. We would like to thank the governmental organisations, private companies and others who supported our work by providing data, advice or additional assistance. Furthermore, we are much obliged to our GLOWA-Danube colleagues for their helpful cooperation over the last few years. Special thanks are due to the anonymous reviewers who provided valuable comments.</t>
  </si>
  <si>
    <t>MITIG ADAPT STRAT GL</t>
  </si>
  <si>
    <t>Mitig. Adapt. Strateg. Glob. Chang.</t>
  </si>
  <si>
    <t>733IL</t>
  </si>
  <si>
    <t>Urban water supply; Agent-based modeling; Demand management; Surface water system; Stochastic reconstruction framework</t>
  </si>
  <si>
    <t>SIDE MANAGEMENT; DEMAND-SIDE; RESOURCES; SCIENCE; VULNERABILITY; HYDROLOGY; FRAMEWORK</t>
  </si>
  <si>
    <t>The sustainability of water resources depends on the dynamic interactions among the environmental, technological, and social characteristics of the water system and local population. These interactions can cause supply-demand imbalances at diverse temporal scales, and the response of consumers to water use regulations impacts future water availability. This research develops a dynamic modeling approach to simulate supply-demand dynamics using an agent-based modeling framework that couple models of consumers and utility managers with water system models. Households are represented as agents, and their water use behaviors are represented as rules. A water utility manager agent enacts water use restrictions, based on fluctuations in the reservoir water storage. Water balance in a reservoir is simulated, and multiple climate scenarios are used to test the sensitivity of water availability to changes in streamflow, precipitation, and temperature. The framework is applied to the water supply system in Raleigh, North Carolina to assess sustainability of drought management plans. Model accuracy is assessed using statistical metrics, and sustainability is calculated for a projected period as the satisfaction or deficit of meeting municipal demands. Multiple climate change scenarios are created by perturbing average monthly values of historical inflow, precipitation, and evapotranspiration data. Results demonstrate the use of the agent-based modeling approach to project the effectiveness of management policies and recommend drought policies for improving the sustainability of urban water resources. (C) 2016 Elsevier Ltd. All rights reserved.</t>
  </si>
  <si>
    <t>[Ali, Alireza Mashhadi; Shafiee, M. Ehsan; Berglund, Emily Zechman] North Carolina State Univ, Civil Construct &amp; Environm Engn, Campus Box 7908, Raleigh, NC 27695 USA; [Ali, Alireza Mashhadi] Amer Tower Corp, 3500 Regency Pkwy, Cary, NC 27518 USA; [Shafiee, M. Ehsan] Sensus Inc, 8601 Six Forks Rd 700, Raleigh, NC 27615 USA</t>
  </si>
  <si>
    <t>Berglund, EZ (corresponding author), North Carolina State Univ, Civil Construct &amp; Environm Engn, Campus Box 7908, Raleigh, NC 27695 USA.</t>
  </si>
  <si>
    <t>ali.mashhadi@americantower.com; ehsanshafieem@gmail.com; emily_berglund@ncsc.edu</t>
  </si>
  <si>
    <t>North Carolina Water Resources Research Institute; National Science Foundation [1204368]</t>
  </si>
  <si>
    <t>North Carolina Water Resources Research Institute; National Science Foundation(National Science Foundation (NSF))</t>
  </si>
  <si>
    <t>The investigators gratefully acknowledge support provided by the North Carolina Water Resources Research Institute and National Science Foundation (Grant Number 1204368) in the completion of this research.</t>
  </si>
  <si>
    <t>EE1EB</t>
  </si>
  <si>
    <t>water demand management; agent-based modeling; urban water management; scenarios testing and assessment</t>
  </si>
  <si>
    <t>CONSERVATION</t>
  </si>
  <si>
    <t>Integrated urban water management calls for tools that can analyze and simulate the complete cycle including the physical, technical, and social dimensions. Scientific advances created simulation tools able to simulate the urban water cycle as realistically as possible. However, even these tools cannot effectively simulate the social component and quantify how behaviors are shaped by external stress factors, such as climate and policies. In this work, an agent-based modeling tool, urban water agents' behavior (UWAB) is used to simulate the water demand behavior of households and how it is influenced by water demand management strategies and drought conditions. UWAB was applied in Athens, Greece to explore the effect of different water demand management strategies to the reliability of the Athens hydrosystem. The results illustrate the usability of UWAB to support decision makers in identifying how strict water demand management measures are needed and when and for how long to deploy them in order to alleviate potential water supply issues.</t>
  </si>
  <si>
    <t>[Koutiva, Ifigeneia; Makropoulos, Christos] Natl Tech Univ Athens, Sch Civil Engn, Dept Water Resources &amp; Environm Engn, Athens 15780, Greece</t>
  </si>
  <si>
    <t>Koutiva, I (corresponding author), Natl Tech Univ Athens, Sch Civil Engn, Dept Water Resources &amp; Environm Engn, Athens 15780, Greece.</t>
  </si>
  <si>
    <t>European Union (European Social Fund-ESF); Greek national funds through the Operational Program Education and Lifelong Learning of the National Strategic Reference Framework (NSRF)-Research Funding Program: Heracleitus II</t>
  </si>
  <si>
    <t>European Union (European Social Fund-ESF)(European Social Fund (ESF)); Greek national funds through the Operational Program Education and Lifelong Learning of the National Strategic Reference Framework (NSRF)-Research Funding Program: Heracleitus II</t>
  </si>
  <si>
    <t>This research has been co-financed by the European Union (European Social Fund-ESF) and Greek national funds through the Operational Program Education and Lifelong Learning of the National Strategic Reference Framework (NSRF)-Research Funding Program: Heracleitus II. Investing in knowledge society through the European Social Fund.</t>
  </si>
  <si>
    <t>JV3KG</t>
  </si>
  <si>
    <t>agent based modelling; GIS-ABM integration; domestic water management; computer simulation; water conservation technologies</t>
  </si>
  <si>
    <t>AGENT-BASED MODEL; SIMULATION; SYSTEMS</t>
  </si>
  <si>
    <t>The aim of this work is to analyze the effect of adoption of domestic water conservation technologies under different assumptions and scenarios in emergent metropolitan areas. For that purpose, we present an agent based model linked to a geographic information system to explore the domestic water demand in the Valladolid metropolitan area (Spain). Specifically, we adapt and integrate diverse social submodels -models of urban dynamics, water consumption, and technological and opinion diffusion- with a statistical model that characterizes the agents' water consumption behaviour. The results show the temporal impact on water consumption and technological adoption of several parameters, and the importance of the joint effect of both diffusion mechanisms.</t>
  </si>
  <si>
    <t>[Galan, Jose M.; del Olmo, Ricardo] Univ Burgos, INSISOC Grp, C Villadiego S-N, Burgos 09001, Spain; [Lopez-Paredes, Adolfo] Univ Valladolid, INSISOC Grp, Valladolid 47011, Spain</t>
  </si>
  <si>
    <t>Galan, JM (corresponding author), Univ Burgos, INSISOC Grp, C Villadiego S-N, Burgos 09001, Spain.</t>
  </si>
  <si>
    <t>jmgalan@ubu.es; rdelolmo@ubu.es; adolfo@insisoc.org</t>
  </si>
  <si>
    <t>Spanish Ministry of Education and Science [DPI2004-06590, DPI2005-05676]</t>
  </si>
  <si>
    <t>Spanish Ministry of Education and Science(Spanish Government)</t>
  </si>
  <si>
    <t>This work is funded by the Spanish Ministry of Education and Science through Projects DPI2004-06590 and DPI2005-05676. We would like to thank Aguas de Valladolid (water Supplier Company of the region), the Valladolid City Council and the Department of Geography of the University of Valladolid for their help and willingness to this research.</t>
  </si>
  <si>
    <t>LECT NOTES ARTIF INT</t>
  </si>
  <si>
    <t>Computer Science, Artificial Intelligence</t>
  </si>
  <si>
    <t>BII74</t>
  </si>
  <si>
    <t>sustainability assessment; multi-agent modelling; urban systems</t>
  </si>
  <si>
    <t>Challenges facing urban planners and governments continue to mount as populations in urban areas increase, pressure on the world's resources reaches critical levels and degradation of ecosystems around the world becomes increasingly apparent. The movement towards sustainable development has been met with enthusiasm by decision-makers, although exactly how to achieve this target, or even measure progress towards it, is not entirely evident. This paper explores how complex urban systems can be modelled holistically using a multi-agent based framework, and their sustainability assessed using a systems approach. There are numerous subsystems and corresponding resources (natural, financial, human and man-made) within an urban development such as water, energy, transport, waste, economic and social systems. All of these subsystems and their interrelations can be modelled using multi-agent systems, along with effects of human behaviour, both spatially and temporally, in order to provide planners, developers and decision-makers with a better platform for understanding the complexities of the urban form. As well as the presentation of a general overview of how the complexities of urban systems can be best captured using integrated modelling techniques such as multi-agent systems, the AUSTIME methodology, Assessment of Urban Sustainability Through Integrated Modelling and Exploration, will be briefly presented. This methodology is designed to show how quantifiable sustainability assessment, based on system resource thresholds, and multi-agent based modelling, can be integrated into a framework that can be used for decision making and management relating to policy, regulation, planning, design and development of urban systems. The framework is designed to form part of a cyclic process, such as an adaptive management and learning or total quality management cycle that can explicitly include stakeholder participation and ongoing evaluation. Specific examples of the implementation of this methodology are provided from a case study of Christie Walk, an eco-development in inner-city Adelaide, Australia. The case study involves the development of a prototype multi-agent based model coupled with a sustainability assessment framework that allows quantifiable sustainability comparisons for a range of indicators between the Christie Walk development and the larger Adelaide metropolitan area. Simulation results show that the eco-development performs significantly better than the majority of Adelaide metropolitan developments, specifically in carbon dioxide production, where the development's occupants rate below the 5(th) percentile of all Adelaide residents. The model is subsequently used to examine scenarios relating to changes in occupant behaviour, development infrastructure and location. Simulations comparing the relative impacts of car ownership and use behaviour, and infrastructure design changes (where air conditioners and heaters are required to regulate indoor temperatures), show that high in-house electricity use behaviour related to infrastructure changes to Christie Walk could have a greater effect on equivalent carbon dioxide production than increased car ownership and use (potentially due to a location change to an outer suburb of the Adelaide metropolitan area). This result is just one example that highlights the necessity for planners and governments to consider the relative importance and effects of all subsystems in urban areas on the overall system's sustainability before attempting to design and choose management options and plans. It is envisaged that the AUSTIME methodology and case study application will help provide an example of how integrated modelling and sustainability assessment can be built into adaptive management cycles and effectively used as a decision making tool to work towards the sustainable development of urban environments and their inhabitants.</t>
  </si>
  <si>
    <t>[Daniell, K. A.] Cemagref ENGREF, UMR G EAU, Montpellier, France</t>
  </si>
  <si>
    <t>Daniell, KA (corresponding author), Cemagref ENGREF, UMR G EAU, Montpellier, France.</t>
  </si>
  <si>
    <t>katherine.daniell@gmail.com</t>
  </si>
  <si>
    <t>MODELLING &amp; SIMULATION SOC AUSTRALIA &amp; NEW ZEALAND INC</t>
  </si>
  <si>
    <t>CHRISTCHURCH</t>
  </si>
  <si>
    <t>MSSANZ, CHRISTCHURCH, 00000, NEW ZEALAND</t>
  </si>
  <si>
    <t>Computer Science, Interdisciplinary Applications; Operations Research &amp; Management Science; Mathematics, Applied; Mathematics, Interdisciplinary Applications</t>
  </si>
  <si>
    <t>Computer Science; Operations Research &amp; Management Science; Mathematics</t>
  </si>
  <si>
    <t>BUQ81</t>
  </si>
  <si>
    <t>Farming systems research; Multi-agent systems; Technology adoption and diffusion</t>
  </si>
  <si>
    <t>LAND-COVER CHANGE; MULTIAGENT SYSTEMS; DECISION-MAKING; DIMOCARPUS LONGAN; SIMULATION; MANAGEMENT; DYNAMICS; POLICIES; AGRICULTURE; TECHNOLOGY</t>
  </si>
  <si>
    <t>This study uses an agent-based model for ex ante assessment of agricultural innovations. The model builds on whole farm mathematical programming (MP) and extends the methodology with a spatial representation of the system, the heterogeneity of farm households and landscapes. and the interaction between farm households. We apply the model in a northern Thai watershed to study the potential of four innovations to increase the profitability of litchi orchards. Cost-benefit analysis shows that each innovation would increase the profitability of litchi growing: however, the results of the agent-based model show that at current price levels these innovations alone would not be enough to stem the decline in the area under litchis. The model was validated and the sensitivity of the results tested or variations in the irrigated water supply and liquidity. We report on how farmers responded to these results and discuss the implications for other areas in northern Thailand.</t>
  </si>
  <si>
    <t>[Schreinemachers, Pepijn; Berger, Thomas] Univ Hohenheim, Dept Land Use Econ Trop &amp; Subtrop, D-70593 Stuttgart, Germany; [Schreinemachers, Pepijn] Chiang Mai Univ, Fac Agr, Uplands Program SFB564, Chiang Mai 50200, Thailand; [Potchanasin, Chakrit] Kasetsart Univ, Fac Econ, Dept Agr &amp; Resource Econ, Bangkok 10900, Thailand; [Roygrong, Sithidech] Highland Res &amp; Dev Inst, Chiang Mai 50200, Thailand</t>
  </si>
  <si>
    <t>Schreinemachers, P (corresponding author), Univ Hohenheim, Dept Land Use Econ Trop &amp; Subtrop, D-70593 Stuttgart, Germany.</t>
  </si>
  <si>
    <t>p.schreinemachers@uni-hohenheim.de</t>
  </si>
  <si>
    <t>Deutsche Forschungsgemeinschaft (DFG) [SFB564]</t>
  </si>
  <si>
    <t>Deutsche Forschungsgemeinschaft (DFG)(German Research Foundation (DFG))</t>
  </si>
  <si>
    <t>We acknowledge the financial support of the Deutsche Forschungsgemeinschaft (DFG) under SFB564. We thank Suwanna Praneetvatakul and Aer Sirijinda for their collaboration in this research and Andreas Neef, Cindy Hugenschmidt, and Walaya Sangchan for sharing their data with us. We thank Joachim Mueller, Georg Cadisch, William Masters, and three anonymous reviewers for their detailed comments that helped us to improve the article.</t>
  </si>
  <si>
    <t>WILEY</t>
  </si>
  <si>
    <t>681DI</t>
  </si>
  <si>
    <t>DEMAND; DYNAMICS; CLIMATE</t>
  </si>
  <si>
    <t>Water scarcity is both a global and a local phenomenon. In order to address this, investigations into water demand management strategies and the conservation tendencies of a population are imperative. This paper investigates the tendencies of a residential population in the City of Cape Town to conserve water in response to certain demand management strategies, using an agent-based simulation approach. The model allows for the population in a ward of interest to be defined by certain attributes, such as income level and access to information. The user may trigger certain demand management strategies during the simulation run, and visually explore the changes in environmental awareness and conservation tendency of the user-defined population. The model has the ability to be used as an investigative tool to explore the effect of different water demand management strategies on the tendencies of households in different wards of Cape Town to conserve water.</t>
  </si>
  <si>
    <t>[Searle, C.] Univ Stellenbosch, Dept Ind Engn, Stellenbosch, South Africa</t>
  </si>
  <si>
    <t>Searle, C (corresponding author), Univ Stellenbosch, Dept Ind Engn, Stellenbosch, South Africa.</t>
  </si>
  <si>
    <t>christadk@sun.co.za</t>
  </si>
  <si>
    <t>SOUTHERN AFRICAN INST INDUSTRIAL ENGINEERING</t>
  </si>
  <si>
    <t>PRETORIA</t>
  </si>
  <si>
    <t>UNIV PRETORIA, DEPT INDUSTRIAL SYSTEMS ENGINEERING, PRETORIA, 0001, SOUTH AFRICA</t>
  </si>
  <si>
    <t>S AFR J IND ENG</t>
  </si>
  <si>
    <t>S. Afr. J. Ind. Eng.</t>
  </si>
  <si>
    <t>Engineering, Industrial</t>
  </si>
  <si>
    <t>Science Citation Index Expanded (SCI-EXPANDED); Conference Proceedings Citation Index - Science (CPCI-S)</t>
  </si>
  <si>
    <t>Engineering</t>
  </si>
  <si>
    <t>OS8VJ</t>
  </si>
  <si>
    <t>Green Submitted, gold</t>
  </si>
  <si>
    <t>SWAT; MPMAS; Thailand; Environment Eco-toxicological threshold; Impact assessment; Multi-agent system</t>
  </si>
  <si>
    <t>HIGHLAND AGRICULTURE; MULTIAGENT SYSTEMS; LITCHI ORCHARD; TRANSPORT; ECONOMETRICS; CATCHMENT; DIFFUSION; POLLUTION; TAXATION; OPTIONS</t>
  </si>
  <si>
    <t>Pesticide application rates are high and increasing in upland agricultural systems in Thailand producing vegetables, fruits and ornamental crops, leading to the pollution of stream water with pesticide residues. The objective of this study was to determine the maximum per hectare application rates of two widely used pesticides that would achieve non-hazardous pesticide concentrations in the stream water and to evaluate how farm household incomes would be affected if farmers complied with these restricted application rates. For this purpose we perform an integrated modeling approach of a hydrological solute transport model (the Soil and Water Assessment Tool, SWAT) and an agent-based farm decision model (Mathematical Programming-based Multi-Agent Systems, MPMAS). SWAT was used to simulate the pesticide fate and behavior. The model was calibrated to a 77 km(2) watershed in northern Thailand. The results show that to stay under a pre-defined eco-toxicological threshold, the current average application of chlorothalonil (0.80 kg/ha) and cypermethrin (0.53 kg/ha) would have to be reduced by 80% and 99%, respectively. The income effect of such reductions was simulated using MPMAS. The results suggest that if farm households complied with the application thresholds then their income would reduce by 17.3% in the case of chlorothalonil and by 38.3% in the case of cypermethrin. Less drastic income effects can be expected if methods of integrated pest management were more widely available. The novelty of this study is to combine two models from distinctive disciplines to evaluate pesticide reduction scenarios based on real-world data from a single study site. (C) 2014 Elsevier Ltd. All rights reserved.</t>
  </si>
  <si>
    <t>[Bannwarth, M. A.; Ingwersen, J.; Lamers, M.; Streck, T.] Univ Hohenheim, Biogeophys Sect, Inst Soil Sci &amp; Land Evaluat, Stuttgart, Germany; [Grovermann, C.; Berger, T.] Univ Hohenheim, Dept Land Use Econ Trop &amp; Subtrop, Stuttgart, Germany; [Schreinemachers, P.] Asian Vegetable Res &amp; Dev Ctr, Tainan 74199, Taiwan</t>
  </si>
  <si>
    <t>Bannwarth, MA (corresponding author), Univ Hohenheim, Biogeophys Sect, Inst Soil Sci &amp; Land Evaluat, Stuttgart, Germany.</t>
  </si>
  <si>
    <t>bannwart@uni-hohenheim.de</t>
  </si>
  <si>
    <t>Schreinemachers, Pepijn/0000-0003-1596-3179; Streck, Thilo/0000-0001-7822-7588</t>
  </si>
  <si>
    <t>ACADEMIC PRESS LTD- ELSEVIER SCIENCE LTD</t>
  </si>
  <si>
    <t>24-28 OVAL RD, LONDON NW1 7DX, ENGLAND</t>
  </si>
  <si>
    <t>J ENVIRON MANAGE</t>
  </si>
  <si>
    <t>J. Environ. Manage.</t>
  </si>
  <si>
    <t>CV9NF</t>
  </si>
  <si>
    <t>water market; locational water right; economic efficiency; third-party effect; return flows</t>
  </si>
  <si>
    <t>PROPERTY-RIGHTS; MARKETS; POLICY; AGRICULTURE; PERFORMANCE</t>
  </si>
  <si>
    <t>Rivers flow downstream and unidirectionally. However, this fact has not yet been utilized in the institutional design for water trading. By utilizing this characteristic, we first designed a water trading system of locational water rights. This new system is able to mitigate the return flow-related and instream flow-related third-party effects of volumetric reliability from water transfers. We provided mathematical proof of its economic efficiency. We then applied this water trading system to the case of the Choushui River basin in Taiwan. In this area, agriculture is highly developed while domestic and industrial water demands have increased rapidly. Using an agent-based model simulation, we estimated the potential economic benefits of implementing the system of locational water rights in the Choushui River basin.</t>
  </si>
  <si>
    <t>[Hung, Ming-Feng; Chie, Bin-Tzong] Tamkang Univ, Dept Ind Econ, New Taipei City 251, Taiwan; [Shaw, Daigee] Acad Sinica, Inst Econ, Taipei 115, Taiwan</t>
  </si>
  <si>
    <t>Hung, MF (corresponding author), Tamkang Univ, Dept Ind Econ, New Taipei City 251, Taiwan.</t>
  </si>
  <si>
    <t>eureka@mail.tku.edu.tw; dshaw@sinica.edu.tw; chie@mail.tku.edu.tw</t>
  </si>
  <si>
    <t>AH1QM</t>
  </si>
  <si>
    <t>Green Submitted, Green Published, gold</t>
  </si>
  <si>
    <t>Chingcuanco, F; Miller, EJ</t>
  </si>
  <si>
    <t>Chingcuanco, Franco; Miller, Eric J.</t>
  </si>
  <si>
    <t>COMPUTERS ENVIRONMENT AND URBAN SYSTEMS</t>
  </si>
  <si>
    <t>Urban energy; Agent-based modelling; Integrated urban models; Microsimulation; Residential energy; ILUTE</t>
  </si>
  <si>
    <t>GREATER TORONTO; CONSUMPTION; NETWORK</t>
  </si>
  <si>
    <t>Rapid urbanization, climate change and energy security warrant a more detailed understanding of how cities today consume energy. Agent-based, integrated microsimulation models of urban systems provide an excellent platform to accomplish this task, as they can capture both the short- and long-term decisions of firms and households which directly affect urban energy consumption. This paper presents the current effort towards developing an urban energy model for the Integrated Land Use, Transportation, Environment (ILUTE) modelling system. As a first step, a model for the residential space heating system evolution of the Greater Toronto-Hamilton Area was developed. A bottom-up approach, where individual uses are aggregated, was then employed to estimate the region's space heating demand. Conventional bottom-up methodologies often suffer from insensitivity to either technological or behavioral factors. It is argued that coupling a discrete choice model with building energy simulation software solves this problem. A joint logit model of heating fuel and equipment choice was developed and estimated using Toronto household microdata. The HOT2000 software was then used to compute individual dwelling unit space heating use. The entire residential energy analysis was performed in tandem with the housing market and demographic evolution processes. This allows the endogenous formation of the required inputs as well as adherence to the core ILUTE framework of integrated modelling. This residential space heating model is a first step towards a comprehensive urban energy end-use model. Further steps include developing similar models for other residential end-uses, such electricity and hot water consumption, as well as extensions to the commercial and transportation sectors. The entire effort aims to introduce an alternate methodology to modelling urban energy consumption that takes advantage of agent-based microsimulation to enhance and address issues with current approaches. (C) 2011 Elsevier Ltd. All rights reserved.</t>
  </si>
  <si>
    <t>[Chingcuanco, Franco] Univ Toronto, Div Engn Sci, Toronto, ON M5S 1A4, Canada; [Miller, Eric J.] Univ Toronto, Dept Civil Engn, Toronto, ON M5S 2G8, Canada</t>
  </si>
  <si>
    <t>Chingcuanco, F (corresponding author), Univ Toronto, Div Engn Sci, 35 St George St, Toronto, ON M5S 1A4, Canada.</t>
  </si>
  <si>
    <t>franco.chingcuanco@utoronto.ca; miller@ecf.utoronto.ca</t>
  </si>
  <si>
    <t>0198-9715</t>
  </si>
  <si>
    <t>1873-7587</t>
  </si>
  <si>
    <t>COMPUT ENVIRON URBAN</t>
  </si>
  <si>
    <t>Comput. Environ. Urban Syst.</t>
  </si>
  <si>
    <t>Computer Science, Interdisciplinary Applications; Engineering, Environmental; Environmental Studies; Geography; Operations Research &amp; Management Science; Regional &amp; Urban Planning</t>
  </si>
  <si>
    <t>Computer Science; Engineering; Environmental Sciences &amp; Ecology; Geography; Operations Research &amp; Management Science; Public Administration</t>
  </si>
  <si>
    <t>921PC</t>
  </si>
  <si>
    <t>WOS:000302488500009</t>
  </si>
  <si>
    <t>ARIZONA; PHOENIX</t>
  </si>
  <si>
    <t>Water is a key issue in sustainable urban development. SWIM ( Simulating Water, Individuals and Management) is an agent-based model of water supply, management structure, and residential water consumer perception and behavior. Initial work applied data mining on newspaper articles to map networks of water management institutions and structures. SWIM extends this by linking an agent-based model of residential water consumption connected via networks of water managers to a global-scale hydrological model. In our case study, we focus on Tucson, Arizona, where management and social behaviors are well documented. Census data are used to create synthetic populations of consumers endowed with price sensitivity and behaviors impacting water use. Social networks, including those based on geographic proximity, allow water use behaviors to spread to others. We examine possible factors leading to recent attested declines in per-capita water use, leveraging ensemble runs on high-performance computing resources using the Swift parallel scripting language to strategically explore complex parameter spaces.</t>
  </si>
  <si>
    <t>[Ozik, Jonathan; Collier, Nicholson; Murphy, John T.] Univ Chicago Computat Inst, 5735 S Ellis Ave, Chicago, IL 60637 USA; [Altaweel, Mark] UCL, 31-34 Gordon Sq, London WC1H 0PY, England; [Lammers, Richard B.; Prusevich, Alexander A.] Univ New Hampshire, Inst Study Earth, Oceans &amp; Space, 8 Coll Rd, Durham, NH 03824 USA; [Kliskey, Andrew; Alessa, Lilian] Univ Idaho, 709 S Deakin St, Moscow, ID 83844 USA</t>
  </si>
  <si>
    <t>Ozik, J (corresponding author), Univ Chicago Computat Inst, 5735 S Ellis Ave, Chicago, IL 60637 USA.</t>
  </si>
  <si>
    <t>jozik@uchicago.edu; ncollier@anl.gov; johntmurphy@uchicago.edu; Richard.Lammers@unh.edu; alex.proussevitch@unh.edu; m.altaweel@ucl.ac.uk; akliskey@uidaho.edu; alessa@uidaho.edu</t>
  </si>
  <si>
    <t>345 E 47TH ST, NEW YORK, NY 10017 USA</t>
  </si>
  <si>
    <t>WINT SIMUL C PROC</t>
  </si>
  <si>
    <t>Computer Science, Information Systems; Computer Science, Interdisciplinary Applications; Computer Science, Theory &amp; Methods</t>
  </si>
  <si>
    <t>BG4XP</t>
  </si>
  <si>
    <t>Agent-based model; Sustainable urban water systems; Environmental policies; Rainwater harvesting; Technology adoption</t>
  </si>
  <si>
    <t>AGENT-BASED MODEL; DIFFUSION; ADOPTION; SYSTEMS; SIMULATION; MELBOURNE; POLICIES; DROUGHT; DEMAND; HYBRID</t>
  </si>
  <si>
    <t>A promising way to address the growing demand for water supply and improve the liveability of cities is to invest in decentralised multifunctional urban water technologies. However, the adoption of multifunctional water technologies is a complex issue that requires cross-disciplinary approaches. This paper uses an agent-based model that integrates economic and environmental factors to explore and simulate the decision-making and interactions of two types of agents: a regulator and households. The model is applied to evaluate strategies to increase the adoption of rainwater tanks in a suburb of Melbourne, a city that has often suffered from severe droughts. The model was able to replicate the uptake of rainwater tanks by households for 2005-2014, the period known as the 'Millennium Drought'. Results indicate that using economic instruments alone may have been insufficient to promote the adoption of rainwater tanks, and that water restrictions have had a major impact on the uptake. (c) 2018 Elsevier Ltd. All rights reserved.</t>
  </si>
  <si>
    <t>[Castonguay, Adam C.; Urich, Christian; Deletic, Ana] Monash Univ, Dept Civil Engn, Monash Infrastruct Res Inst, 14 Alliance Lane, Clayton, Vic 3800, Australia; [Iftekhar, Md Sayed] Univ Western Australia, Sch Agr &amp; Environm, 35 Stirling Highway, Perth, WA 6009, Australia; [Deletic, Ana] Univ New South Wales, Sch Civil &amp; Environm Engn, Sydney, NSW 2052, Australia</t>
  </si>
  <si>
    <t>Castonguay, AC (corresponding author), Monash Univ, Dept Civil Engn, Monash Infrastruct Res Inst, 14 Alliance Lane, Clayton, Vic 3800, Australia.</t>
  </si>
  <si>
    <t>adam.charelle.castonguay@monash.edu</t>
  </si>
  <si>
    <t>Castonguay, Adam C./AAB-5975-2019; Iftekhar, Sayed/J-5298-2013; Deletic, Ana/CAG-2385-2022</t>
  </si>
  <si>
    <t>Castonguay, Adam C./0000-0003-3312-5849; Deletic, Ana/0000-0002-3535-7451; Iftekhar, Md Sayed/0000-0002-2827-2943</t>
  </si>
  <si>
    <t>GI6FV</t>
  </si>
  <si>
    <t>LAND-COVER CHANGE; MULTIAGENT SYSTEMS; SIMULATION; POLICIES; INNOVATIONS; ADOPTION</t>
  </si>
  <si>
    <t>This paper studies the diffusion of greenhouse agriculture in a watershed in the northern uplands of Thailand by applying econometrics and agent-based modeling in combination. Adoption has been rapid by farmers in the central valley of the watershed, while farmers at higher altitudes, lacking transferable land titles that could serve as mortgage collateral, have been unable to obtain loans for greenhouse investment. The objectives of the paper are both methodological and empirical. On the methodological side, it shows that econometrically estimated models of farm household behavior are useful to design and to parameterize an agent-based model. On the empirical side, simulation results show that if mortgage collateral would not be required, then adoption in the upper part of the watershed could reach nearly 77% of farm households by 2020, as compared to about 36% under current conditions. Furthermore results suggest a significant increase in incomes related to the innovation and a substantially greater irrigation water use, especially in the central part. As bell pepper under greenhouses has replaced pesticide-intensive chrysanthemum, it has declined average levels of pesticide use. Nevertheless, pesticide use is high and farmers are struggling to control pests, which raises questions about the long-term sustainability of the innovation.</t>
  </si>
  <si>
    <t>[Schreinemachers, Pepijn; Berger, Thomas] Univ Hohenheim 490D, Dept Land Use Econ Trop &amp; Subtrop, D-70593 Stuttgart, Germany; [Schreinemachers, Pepijn] Chiang Mai Univ, Fac Agr, Uplands Program, Chiang Mai 50200, Thailand; [Sirijinda, Aer; Praneetvatakul, Suwanna] Kasetsart Univ, Fac Econ, Dept Agr &amp; Resource Econ, Bangkok 10900, Thailand</t>
  </si>
  <si>
    <t>Schreinemachers, P (corresponding author), Univ Hohenheim 490D, Dept Land Use Econ Trop &amp; Subtrop, D-70593 Stuttgart, Germany.</t>
  </si>
  <si>
    <t>p.schreinemachers@uni-hohenheim.de; i490d@uni-hohenheim.de; fecoasj@ku.ac.th; fecoswp@ku.ac.th</t>
  </si>
  <si>
    <t>Borve, Knut/I-5934-2012; Pettersson, Lars GM/J-4925-2013; Pettersson, Lars G.M./F-8428-2011</t>
  </si>
  <si>
    <t>Borve, Knut/0000-0002-5782-8963; Pettersson, Lars GM/0000-0003-1133-9934; Berger, Thomas/0000-0003-3316-9614; Schreinemachers, Pepijn/0000-0003-1596-3179</t>
  </si>
  <si>
    <t>Deutsche Forschungsgemeinschaft (DFG) [SFB-564]</t>
  </si>
  <si>
    <t>We acknowledge the financial support of the Deutsche Forschungsgemeinschaft (DFG) under SFB-564. We thank Tanaporn Hunkittikul and Orn-uma Polpanich for the skilful research assistance and thank Cindy Hugenschmidt and Walaya Sangchan for sharing data with us. We are grateful to James F. Nolan and two anonymous reviewers of this journal for their comments.</t>
  </si>
  <si>
    <t>CAN J AGR ECON</t>
  </si>
  <si>
    <t>Can. J. Agric. Econ.-Rev. Can. Agroecon.</t>
  </si>
  <si>
    <t>508AZ</t>
  </si>
  <si>
    <t>Sampson, DA; Quay, R; Horrie, M</t>
  </si>
  <si>
    <t>Sampson, D. A.; Quay, Ray; Horrie, Mitch</t>
  </si>
  <si>
    <t>Building Type, Housing Density, and Water Use: Denver Water Data and Agent-Based Simulations</t>
  </si>
  <si>
    <t>JOURNAL OF THE AMERICAN WATER RESOURCES ASSOCIATION</t>
  </si>
  <si>
    <t>Article; Early Access</t>
  </si>
  <si>
    <t>housing types; water policy; water management; urban form; exploratory scenarios</t>
  </si>
  <si>
    <t>MULTISCALE ANALYSIS; CONSUMPTION; CLIMATE; DEMAND; MANAGEMENT; SIZE</t>
  </si>
  <si>
    <t>This study examined simulated changes in total (and outdoor) water demand with increased dwelling units per unit area (DUUA) for seven building types (BTs) in the Denver Water service area. We utilized the Denver Water Demand Model - a spreadsheet tool that uses inputs such as BT, population, household size, number of units, etc. - to develop an agent-based simulator to permit scenario analyses of future water use for different mixes of BTs. We examined household movement for new residents from lower density to higher density classifications. Increased residential density can be achieved through multiple pathways. For instance, a family could move from a large single-family (LSF) unit to a single-family home with a smaller lot footprint (SSF). Or, a family could move into a multi-family housing development from a SSF. Our results suggest uneven, nonlinear efficiency gains in water use with increased density, depending on the specific BT movements. Simulation outputs indicate that the greatest gains in water savings per unit change in DUUA can be achieved with short movements over the lowest density classes (e.g., LSF to a SSF). In addition, results suggest that increasing irrigation efficiency (less water applied per unit area irrigated) may decrease total residential water demand by 5% to 25% over baseline; efficiency of irrigation may prove to be as effective, if not more, at reducing residential water demand as increasing housing density.</t>
  </si>
  <si>
    <t>[Sampson, D. A.; Quay, Ray] Arizona State Univ, Global Inst Sustainabil &amp; Innovat, Tempe, AZ 85287 USA; [Horrie, Mitch] Denver Water, Denver, CO USA</t>
  </si>
  <si>
    <t>Sampson, DA (corresponding author), Arizona State Univ, Global Inst Sustainabil &amp; Innovat, Tempe, AZ 85287 USA.</t>
  </si>
  <si>
    <t>david.a.sampson@asu.edu</t>
  </si>
  <si>
    <t>Sampson, David/0000-0002-6814-7020</t>
  </si>
  <si>
    <t>Denver Water; Colorado Water; Growth Dialogue; Denver Regional Council of Governments; National Science Foundation [SES-0951366]</t>
  </si>
  <si>
    <t>Denver Water; Colorado Water; Growth Dialogue; Denver Regional Council of Governments; National Science Foundation(National Science Foundation (NSF))</t>
  </si>
  <si>
    <t>We thank Denver Water, Colorado Water and Growth Dialogue, and the Denver Regional Council of Governments for their support in this work. This work was funded, in part, by the National Science Foundation SES-0951366.</t>
  </si>
  <si>
    <t>1093-474X</t>
  </si>
  <si>
    <t>1752-1688</t>
  </si>
  <si>
    <t>J AM WATER RESOUR AS</t>
  </si>
  <si>
    <t>J. Am. Water Resour. Assoc.</t>
  </si>
  <si>
    <t>10.1111/1752-1688.13009</t>
  </si>
  <si>
    <t>MAY 2022</t>
  </si>
  <si>
    <t>Engineering, Environmental; Geosciences, Multidisciplinary; Water Resources</t>
  </si>
  <si>
    <t>Engineering; Geology; Water Resources</t>
  </si>
  <si>
    <t>1M0PX</t>
  </si>
  <si>
    <t>WOS:000799681200001</t>
  </si>
  <si>
    <t>IEEE,Can Tho Univ,VNU Univ Engn &amp; Technol,IEEE Vietnam Sect</t>
  </si>
  <si>
    <t>Agent-Based Model; CityScope; GAMA platform; interactive simulation; Bac Hung Hai; irrigation system</t>
  </si>
  <si>
    <t>Irrigation systems contribute worldwide to the provision of a wide range of services on which the survival and well-being of humanity depend. They are of primary importance in Vietnam where about 90% of the water used is for irrigation and aquaculture and where agriculture is the largest employer and a major contributor to the national GDP and to the income of the low-salary households. Nevertheless, irrigation systems have recently been subjected to several issues including increasing demand, pollution, under-investment, depletion of resources or environmental changes. Any mitigation measure against these issues needs to be sustainable with respect to the very diverse uses of the water, the changing conditions upstream and downstream, and the somewhat conflicting objectives carried out by landuse/agricultural planning on one hand and urbanization and society well-being on the other. This need of sustainability requires the design of innovative tools to tackle these issues. This work aims at exploring the usage of Agent-Based Modelling coupled with a tangible and interactive interface in order to enhance interactions between stakeholders and support the evaluation of various alternatives of the management of the Bac Hung Hai irrigation system.</t>
  </si>
  <si>
    <t>[Grignard, Arnaud; Larson, Kent] MIT, City Sci, Media Lab, Cambridge, MA 02139 USA; [Tri Nguyen-Huu] Sorbonne Univ, IRD, UMMISCO, JEAI WARM,SU, Bondy, France; [Tri Nguyen-Huu] TLU, Bondy, France; [Gaudou, Benoit] Univ Toulouse Capitole, IRIT, UMMISCO, SU, Hanoi, Vietnam; [Gaudou, Benoit] USTH, ICTLab, IRD, Hanoi, Vietnam; [Doanh Nguyen-Ngoc] Thuyloi Univ, UMMISCO SU IRD, JEAI WARM, Hanoi, Vietnam; [Doanh Nguyen-Ngoc; Tu Dang-Huu; Nguyen Trong Khanh] TLU, Hanoi, Vietnam; [Brugiere, Arthur] USTH, UMMISCO, ICTLab, SU, Hanoi, Vietnam; [Brugiere, Arthur] IRD, Hanoi, Vietnam; [Tu Dang-Huu] USTH, UMMISCO SU IRD, JEAI WARM, ICTLab, Hanoi, Vietnam; [Huynh Quang Nghi] Can Tho Univ, SU, UMMISCO, Can Tho, Vietnam; [Huynh Quang Nghi] IRD, Can Tho, Vietnam; [Nguyen Trong Khanh] PTIT Univ, UMMISCO SU IRD, JEAI WARM, Hanoi, Vietnam</t>
  </si>
  <si>
    <t>Grignard, A (corresponding author), MIT, City Sci, Media Lab, Cambridge, MA 02139 USA.</t>
  </si>
  <si>
    <t>agrignard@media.mit.edu; tri.nguyen-huu@ird.fr; benoit.gaudou@gmail.com; doanhnn@tlu.edu.vn; contact@arthurbrugiere.fr; tudh.hust@gmail.com; hqnghi@ctu.edu.vn; khanhnt82@gmail.com; kll@media.mit.edu</t>
  </si>
  <si>
    <t>CityScience group at MIT Media Lab; JEAI WARM team, UMMISCO/Sorbonne University (SINIRD); JEAI WARM team, UMMISCO/Sorbonne University (Thuyloi University (TLU))</t>
  </si>
  <si>
    <t>The CityScope project has been initiated at the MIT Media Lab. CityScope Hanoi has been funded by the CityScience group at MIT Media Lab and the JEAI WARM team, UMMISCO/Sorbonne University (SINIRD and Thuyloi University (TLU).</t>
  </si>
  <si>
    <t>INT CONF KNOWL SYS</t>
  </si>
  <si>
    <t>Computer Science, Information Systems; Computer Science, Theory &amp; Methods</t>
  </si>
  <si>
    <t>BS1DE</t>
  </si>
  <si>
    <t>Yang, A; Dutta, D; Vaze, J; Kim, S; Podger, G</t>
  </si>
  <si>
    <t>Yang, Ang; Dutta, Dushmanta; Vaze, Jai; Kim, Shaun; Podger, Geoff</t>
  </si>
  <si>
    <t>An integrated modelling framework for building a daily river system model for the Murray-Darling Basin, Australia</t>
  </si>
  <si>
    <t>INTERNATIONAL JOURNAL OF RIVER BASIN MANAGEMENT</t>
  </si>
  <si>
    <t>River basin management; river system modelling; agent-based modelling; eWater Source; Murray-Darling Basin</t>
  </si>
  <si>
    <t>LAND-USE CHANGE; WATER; MANAGEMENT; SIMULATION; OPENMI; TOOL; CATCHMENTS; SALINITY; DYNAMICS; PLATFORM</t>
  </si>
  <si>
    <t>The Murray-Darling Basin (MDB) is home to two million people and accounts for about 60% of the water use in Australia. The MDB river system is a highly complex and mostly regulated system covering four states (Queensland, New South Wales, Victoria and South Australia) and one territory. Different jurisdictions used different models for water resources and planning. A number of difficulties were faced in combining those models (of different characteristics and spatio-temporal resolutions) for basin-wide water resources planning. In order to overcome those difficulties and enhance the consistency and transparency in modelling outcomes across multiple jurisdictions, this paper proposes a homogeneous agent-based integrated modelling framework. Each agent is used to represent a region in the MDB. Its behaviour is modelled by a newly built Source river model. The interactions between agents are modelled based on the hydrological connectivity in the real-world river systems. A three-level parallel computing mechanism is developed to significantly increase its efficiency and reduce computational time. Due to its homogeneousness, it largely reduces the system complexity and makes modelling results consistent, explainable and comparable. By nature, the agent-based system is flexible and portable. All these unique features of the platform suit the modelling needs of various states to federal government water resource management agencies.</t>
  </si>
  <si>
    <t>[Yang, Ang; Dutta, Dushmanta; Vaze, Jai; Kim, Shaun; Podger, Geoff] CSIRO Land &amp; Water, Canberra, ACT, Australia</t>
  </si>
  <si>
    <t>Dutta, D (corresponding author), CSIRO Land &amp; Water, Canberra, ACT, Australia.</t>
  </si>
  <si>
    <t>dushmanta.dutta@csiro.au</t>
  </si>
  <si>
    <t>Vaze, Jai/E-6672-2011</t>
  </si>
  <si>
    <t>TAYLOR &amp; FRANCIS LTD</t>
  </si>
  <si>
    <t>ABINGDON</t>
  </si>
  <si>
    <t>2-4 PARK SQUARE, MILTON PARK, ABINGDON OR14 4RN, OXON, ENGLAND</t>
  </si>
  <si>
    <t>1571-5124</t>
  </si>
  <si>
    <t>1814-2060</t>
  </si>
  <si>
    <t>INT J RIVER BASIN MA</t>
  </si>
  <si>
    <t>Int. J. River Basin Manag.</t>
  </si>
  <si>
    <t>Water Resources</t>
  </si>
  <si>
    <t>Emerging Sources Citation Index (ESCI)</t>
  </si>
  <si>
    <t>FU6LP</t>
  </si>
  <si>
    <t>WOS:000423964400012</t>
  </si>
  <si>
    <t>Cai, JJ; Xiong, H</t>
  </si>
  <si>
    <t>Cai, Jingjing; Xiong, Hang</t>
  </si>
  <si>
    <t>COMPLEX ADAPTIVE SYSTEMS MODELING</t>
  </si>
  <si>
    <t>Cooperation; Water user association; Agent-based modelling; Neighborhood effects; Social networks</t>
  </si>
  <si>
    <t>SOCIAL NETWORKS; PROJECT SYSTEM; EVOLUTION; COMMONS; RECIPROCITY; INNOVATIONS; GOVERNANCE; MANAGEMENT; BEHAVIOR; TRAGEDY</t>
  </si>
  <si>
    <t>This study presents an agent-based simulation of the formation of cooperation in using irrigation. The simulation model is developed based on our understanding of the underlying mechanisms by which farmer households participate the cooperation. That is, a household first become a potential participant when the cost of cooperation it needs to sustain is not higher than the amount it can afford or is willing to pay; and on top of this, the propensity that the household participates is heavily affected by its personal characteristics and neighborhood effects. We use model to examine the impacts of initial participants and government support on both the reach and velocity of the cooperation diffusion. The model is calibrated to villages with successfully running Water User Association in central China. Our results show that government support plays a critical role but the initial participants do not matter much for different types of initial participants and network structure of the village.</t>
  </si>
  <si>
    <t>[Cai, Jingjing] Xiamen Univ, Sch Econ, Xiamen, Peoples R China; [Xiong, Hang] Swiss Fed Inst Technol, Agr Econ &amp; Policy Grp, Zurich, Switzerland</t>
  </si>
  <si>
    <t>Xiong, H (corresponding author), Swiss Fed Inst Technol, Agr Econ &amp; Policy Grp, Zurich, Switzerland.</t>
  </si>
  <si>
    <t>hxiong@ethz.ch</t>
  </si>
  <si>
    <t>National Natural Science Foundation of China [71303198, 71603223]</t>
  </si>
  <si>
    <t>National Natural Science Foundation of China(National Natural Science Foundation of China (NSFC))</t>
  </si>
  <si>
    <t>This research is funded by the National Natural Science Foundation of China under the project Triggering Factors and Evolutionary Mechanism of Cooperative Behaviour on Irrigation (71303198) and the project of the National Natural Science Foundation of China Research on Nudge Mechanism of Public Service Quality: Theory, Experiment and Application (71603223).</t>
  </si>
  <si>
    <t>SPRINGER HEIDELBERG</t>
  </si>
  <si>
    <t>HEIDELBERG</t>
  </si>
  <si>
    <t>TIERGARTENSTRASSE 17, D-69121 HEIDELBERG, GERMANY</t>
  </si>
  <si>
    <t>2194-3206</t>
  </si>
  <si>
    <t>COMPLEX ADAPT SYST M</t>
  </si>
  <si>
    <t>Compex Adapt. Syst. Model.</t>
  </si>
  <si>
    <t>AUG 8</t>
  </si>
  <si>
    <t>Computer Science, Interdisciplinary Applications</t>
  </si>
  <si>
    <t>FD2IU</t>
  </si>
  <si>
    <t>Green Published, hybrid</t>
  </si>
  <si>
    <t>WOS:000407359400001</t>
  </si>
  <si>
    <t>Agent-based model; Complex adaptive system; Groundwater management; Demand management; Water shortage; Sustainability index</t>
  </si>
  <si>
    <t>MODEL; CLIMATE; DYNAMICS; GROWTH</t>
  </si>
  <si>
    <t>Groundwater resources are shared across management boundaries. Multiple management units that differ in scale, constraints and objectives may manage a shared resource in a decentralized approach. The interactions among water managers, water users, and the water resource components influence the performance of management strategies and the resilience of community-level water supply and groundwater availability. This research develops an agent-based modeling (ABM) framework to capture the dynamic interactions among household-level consumers and policy makers to simulate water demands. The ABM is coupled with a groundwater model to evaluate effects on the groundwater table. The framework is applied to explore trade-offs between improvements in water supply sustainability for local resources and water table changes at the basin-level. A group of municipalities are simulated as agents who share access to a groundwater aquifer in Verde River Basin, Arizona. The framework provides a holistic approach to incorporate water user, municipal, and basin level objectives in evaluating water reduction strategies for long-term water resilience.</t>
  </si>
  <si>
    <t>[Al-Amin, Shams; Berglund, Emily Z.; Mahinthakumar, G.] North Carolina State Univ, Civil Construct &amp; Environm Engn, Raleigh, NC 27695 USA; [Larson, Kelli L.] Arizona State Univ, Sch Geog Sci &amp; Urban Planning, Tempe, AZ 85287 USA; [Larson, Kelli L.] Arizona State Univ, Sch Sustainabil, Tempe, AZ 85287 USA</t>
  </si>
  <si>
    <t>Al-Amin, S (corresponding author), North Carolina State Univ, Civil Construct &amp; Environm Engn, Raleigh, NC 27695 USA.</t>
  </si>
  <si>
    <t>salamin@ncsu.edu</t>
  </si>
  <si>
    <t>National Science Foundation [1204368]</t>
  </si>
  <si>
    <t>We thank the editor, associate editor and the anonymous reviewers for their guidance in reviewing this paper. This research is supported by the National Science Foundation, Grant No. 1204368. Opinions and findings are those of the authors and do not necessarily reflect the views of the funding agency.</t>
  </si>
  <si>
    <t>J HYDROL</t>
  </si>
  <si>
    <t>J. Hydrol.</t>
  </si>
  <si>
    <t>Engineering, Civil; Geosciences, Multidisciplinary; Water Resources</t>
  </si>
  <si>
    <t>HA0MC</t>
  </si>
  <si>
    <t>critical infrastructure; complex system representation; utility conversion; interdependency; agent-based model design</t>
  </si>
  <si>
    <t>Infrastructure, which is used to extract, transport, store, and transform resources into products or services to meet our utility needs faces numerous challenges caused by the agency of the various actors in the system. To understand these challenges, we propose it is necessary to move beyond considering each utility system as a distinct silo. In this paper, a conversion points approach is developed to characterize multiutility systems at any scale and for any specific or theoretical location. The story is told of the development of a conversion points approach and its application is examined using an agent-based model. Transport, energy, water, waste, and telecommunications systems are governed and run independently but in practice are highly interdependent. A way to represent all utility systems in an integrated way is described and the benefits of this representation are applied to UK household consumers. (C) 2014 Wiley Periodicals, Inc.</t>
  </si>
  <si>
    <t>[Varga, Liz; Grubic, Tonci; Varga, Stephen] Cranfield Univ, Complex Syst Res Ctr, Cranfield MK43 0AL, Beds, England; [Greening, Philip] Heriot Watt Univ, Sch Management &amp; Languages, Edinburgh EH14 4AS, Midlothian, Scotland; [Camci, Fatih] Antalya Int Univ, Dept Ind Engn, Antalya, Turkey; [Dolan, Tom] UCL, Int Ctr Infrastruct Futures Sci Technol Engn &amp; Pu, London, England</t>
  </si>
  <si>
    <t>Varga, L (corresponding author), Cranfield Univ, Complex Syst Res Ctr, Sch Management, Cranfield MK43 0AL, Beds, England.</t>
  </si>
  <si>
    <t>liz.varga@cranfield.ac.uk</t>
  </si>
  <si>
    <t>Dolan, Tom/0000-0002-3192-3073; Varga, Liz/0000-0001-6955-478X</t>
  </si>
  <si>
    <t>Engineering and Physical Sciences Research Council, UK [EP/J005649/1]; EPSRC [EP/J005649/1, EP/K012347/1, EP/K00915X/1] Funding Source: UKRI; Engineering and Physical Sciences Research Council [EP/K012347/1, EP/J005649/1] Funding Source: researchfish</t>
  </si>
  <si>
    <t>Engineering and Physical Sciences Research Council, UK(UK Research &amp; Innovation (UKRI)Engineering &amp; Physical Sciences Research Council (EPSRC)); EPSRC(UK Research &amp; Innovation (UKRI)Engineering &amp; Physical Sciences Research Council (EPSRC)); Engineering and Physical Sciences Research Council(UK Research &amp; Innovation (UKRI)Engineering &amp; Physical Sciences Research Council (EPSRC))</t>
  </si>
  <si>
    <t>The authors gratefully acknowledge funding from the Engineering and Physical Sciences Research Council, UK, Grant ref EP/J005649/1.</t>
  </si>
  <si>
    <t>WILEY-HINDAWI</t>
  </si>
  <si>
    <t>ADAM HOUSE, 3RD FL, 1 FITZROY SQ, LONDON, WIT 5HE, ENGLAND</t>
  </si>
  <si>
    <t>Mathematics, Interdisciplinary Applications; Multidisciplinary Sciences</t>
  </si>
  <si>
    <t>Mathematics; Science &amp; Technology - Other Topics</t>
  </si>
  <si>
    <t>AM0PV</t>
  </si>
  <si>
    <t>AnyLogic Co,OLD DOMIN UNIV,IDEA FUS,Modelling Simulat &amp; Visualizat Engn,Simio,FlexSim,sas,Operat Res Soc, Journal of Simulat,Springer,Assoc Comp Machinery - Special Interest Grp Simulat,Amer Statist Assoc,Arbeitsgemeinschaft Simulat,Inst Elect &amp; Elect Engn, Syst Man &amp; Cybernet Soc,Inst Ind &amp; Syst Engineers,Inst Operat Res &amp; Management Sci - Simulat Soc,Natl Inst Standards &amp; Technol,Soc Modeling &amp; Simulat Int</t>
  </si>
  <si>
    <t>Using new technologies to maintain, construct, and reuse naturally created products like asphalt, soils, and water can reserve the environment (Baqersad et. al 2017, 2016). The objective of this study was to specify and model the behavior of households regarding the installation of water conservation technology and evaluate strategies that could potentially increase water conservation technology adoption at the household level. In particular, this study created an agent-based modeling framework in order to understand various factors and dynamic behaviors affecting the adoption of water conservation technology by households. The model captures various demographic characteristics, household attributes, social network influence, and pricing policies; and then evaluates their influence simultaneously on household decisions in adoption of water conservation technology. The application of the proposed simulation model was demonstrated in a case study of the City of Miami Beach. The simulation results identified the intersectional effects of various factors in household water conservation technology adoption and also investigated the scenario landscape of the adoptions that can inform policy formulation and planning.</t>
  </si>
  <si>
    <t>[Rasoulkhani, Kambiz; Mostafavi, Ali] Texas A&amp;M Univ, Zachry Dept Civil Engn, 199 Spence St, College Stn, TX 77843 USA; [Logasa, Brianne] Univ Calif Los Angeles, Luskin Sch Publ Affairs, 337 Charles E Young Dr E, Los Angeles, CA 90095 USA; [Reyes, Maria Presa] Florida Int Univ, Sch Comp &amp; Informat Sci, 11200 SW 8th St, Miami, FL 33199 USA</t>
  </si>
  <si>
    <t>Rasoulkhani, K (corresponding author), Texas A&amp;M Univ, Zachry Dept Civil Engn, 199 Spence St, College Stn, TX 77843 USA.</t>
  </si>
  <si>
    <t>Kambiz.r@tamu.edu; blogasa@g.acla.edu; mpres029@cs.fiu.edu; amostafavi@civil.tamu.edu</t>
  </si>
  <si>
    <t>National Science Foundation [1444758]; City of Miami Beach Utility</t>
  </si>
  <si>
    <t>National Science Foundation(National Science Foundation (NSF)); City of Miami Beach Utility</t>
  </si>
  <si>
    <t>This material is based in part upon work supported by the National Science Foundation under Grant Number 1444758, and the City of Miami Beach Utility. Any opinions, findings, and conclusions or recommendations expressed in this material are those of the authors and do not necessarily reflect the views of the NSF or the City of Miami Beach Utility.</t>
  </si>
  <si>
    <t>Computer Science, Theory &amp; Methods; Engineering, Electrical &amp; Electronic</t>
  </si>
  <si>
    <t>Computer Science; Engineering</t>
  </si>
  <si>
    <t>BJ7WX</t>
  </si>
  <si>
    <t>Spatial temporal modeling; Social-economic effects; Human-environment interaction</t>
  </si>
  <si>
    <t>JAPONICUM</t>
  </si>
  <si>
    <t>Background: As the transmission of many other parasitic diseases, the transmission of schistosomiasis is a complex process governed by natural, socio-economic factors and human life style. Based on the life cycle of Schistosoma japonicum, some models have been developed. However, the human-environment interaction, especially through agricultural activities, has not been explicitly modeled in previous efforts. Objective: To understand the effect of agricultural land use and other social economic factors on schistosomiasis transmission by explicitly including agricultural land use, human water contact behaviors, feces processing, and control strategies in a multi-level agent based model. Methods: We proposed a spatially explicit agent-based schistosomiasis transmission model and describe its design and implementation. We chose one endemic village near Xichang, China to construct a virtual environment with the patch. We modeled the behaviors (water contact, feces contamination and disease control) of various agents (villages, households and individuals) in the environment and predicted the potential infection risk of human and snails in space and time with consideration of socio-economic and human behavioral factors. Results: We obtained simulation results based on different scenarios of schistosomiasis control involving two dominant types of land use and four types of control measures. We also compared the effect of different timing on chemotherapy treatment. Conclusions: The scheme for multi-level agent simulation including human-environment interaction behaviors in schistosomiasis transmission is a useful framework for assessment of different control strategies. (C) 2010 Elsevier B. V. All rights reserved.</t>
  </si>
  <si>
    <t>[Hu, Haitang; Gong, Peng] Chinese Acad Sci, State Key Lab Remote Sensing Sci, Inst Remote Sensing Applicat, Beijing, Peoples R China; [Gong, Peng] Univ Calif Berkeley, Div Ecosyst Sci, Berkeley, CA 94720 USA; [Xu, Bing] Tsinghua Univ, Dept Environm Sci &amp; Engn, Beijing 100084, Peoples R China; [Hu, Haitang; Gong, Peng] Beijing Normal Univ, Beijing 100875, Peoples R China</t>
  </si>
  <si>
    <t>Gong, P (corresponding author), Chinese Acad Sci, State Key Lab Remote Sensing Sci, Inst Remote Sensing Applicat, Beijing, Peoples R China.</t>
  </si>
  <si>
    <t>gong@irsa.ac.cn</t>
  </si>
  <si>
    <t>Gong, Peng/AAM-1516-2021; Xu, Bing/C-7732-2015</t>
  </si>
  <si>
    <t xml:space="preserve">Gong, Peng/0000-0003-1513-3765; </t>
  </si>
  <si>
    <t>National Natural Science Foundation of China [30590370]</t>
  </si>
  <si>
    <t>This research is partially supported by a major project grant from the National Natural Science Foundation of China (30590370).</t>
  </si>
  <si>
    <t>EPIDEMICS-NETH</t>
  </si>
  <si>
    <t>Epidemics</t>
  </si>
  <si>
    <t>Infectious Diseases</t>
  </si>
  <si>
    <t>V21UW</t>
  </si>
  <si>
    <t>hybrid</t>
  </si>
  <si>
    <t>Community resilience; Risk analysis; Recovery analysis; Agent-based simulation; Infrastructure systems; Interdependency; Cost</t>
  </si>
  <si>
    <t>GROUND MOTION; DISASTER RESILIENCE; RELIABILITY METHODS; SEISMIC RESILIENCE; RECOVERY; EARTHQUAKE; COMPONENT; HAZARD; PGV</t>
  </si>
  <si>
    <t>This paper proposes a novel probabilistic framework to quantitatively evaluate the resilience of communities comprising buildings and various interdependent infrastructure systems. To this aim, the proposed framework seamlessly integrates risk models and agent based simulation in a Monte Carlo sampling scheme. The risk module includes models that evaluate the initial posthazard state of the community by probabilistic simulation of the hazard event, the structural response and damage of buildings and infrastructure systems, and cascading consequences that arise from interdependencies. Subsequently, the agent-based module simulates the recovery of the community from those consequences in which decentralized autonomous decision-making entities called agents undertake recovery operations. The agents prioritize buildings and infrastructure components for recovery and schedule operations as discrete events with uncertain duration and cost. Consequently, the probability distribution of the total cost incurred by the community and the total recovery time is evaluated. A resilience measure is then proposed as a function of the total community cost, which represents demand, and the gross regional product of the community, which represents the capacity to cope with that demand. The framework is showcased by a comprehensive application to a community comprising a portfolio of residential and commercial buildings, an electric power system, a water system, and a healthcare system subject to seismic hazard. DOI: 10.1061/(ASCE)ST.1943-541X.0002810. (c) 2020 American Society of Civil Engineers.</t>
  </si>
  <si>
    <t>[Nasrazadani, Hossein; Mahsuli, Mojtaba] Sharif Univ Technol, Ctr Infrastruct Sustainabil &amp; Resilience Res, Dept Civil Engn, Tehran 1458889694, Iran</t>
  </si>
  <si>
    <t>Mahsuli, M (corresponding author), Sharif Univ Technol, Ctr Infrastruct Sustainabil &amp; Resilience Res, Dept Civil Engn, Tehran 1458889694, Iran.</t>
  </si>
  <si>
    <t>h.nasrazadani@mail.utoronto.ca; mahsuli@sharif.edu</t>
  </si>
  <si>
    <t>Mahsuli, Mojtaba/AHC-2113-2022</t>
  </si>
  <si>
    <t>Mahsuli, Mojtaba/0000-0001-7192-0881; Nasrazadani, Hossein/0000-0001-7620-0672</t>
  </si>
  <si>
    <t>Iran National Science Foundation (INSF) [96013800]; Sharif University of Technology [QA970110]</t>
  </si>
  <si>
    <t>Iran National Science Foundation (INSF)(Iran National Science Foundation (INSF)); Sharif University of Technology</t>
  </si>
  <si>
    <t>The financial support from Iran National Science Foundation (INSF) through Grant No. 96013800 is gratefully acknowledged. The authors also thank Sharif University of Technology for Grant No. QA970110. The authors express their gratitude to Mr. Hassan Nasrazadani from Shanir Consultant Company and Dr. Hamed Kashani for insightful comments and recommendations. The authors thank Messrs. Sina Biazar and Hesam Alinejad from Sharif University of Technology for assisting with the latest revision of Rtx.</t>
  </si>
  <si>
    <t>ASCE-AMER SOC CIVIL ENGINEERS</t>
  </si>
  <si>
    <t>RESTON</t>
  </si>
  <si>
    <t>1801 ALEXANDER BELL DR, RESTON, VA 20191-4400 USA</t>
  </si>
  <si>
    <t>J STRUCT ENG</t>
  </si>
  <si>
    <t>J. Struct. Eng.</t>
  </si>
  <si>
    <t>Construction &amp; Building Technology; Engineering, Civil</t>
  </si>
  <si>
    <t>Construction &amp; Building Technology; Engineering</t>
  </si>
  <si>
    <t>NW2VL</t>
  </si>
  <si>
    <t>Decentralized water technology; Agent-based modeling; System dynamics modeling; Integrated analysis; Spatial planning</t>
  </si>
  <si>
    <t>ENERGY; NEXUS</t>
  </si>
  <si>
    <t>Understanding the market demand for decentralized water technologies and the impacts on the urban water systems (UWS) is critical to sustainable promotion in urban communities. In this paper, we developed a spatial agent-based model (ABM) that simulates the adoption of home-based rainwater harvesting (RWH) and greywater recycling (GWR) by single-family households in Boston, United States. We applied system dynamics modeling (SDM) to evaluate the impacts of decentralized technologies on the UWS. The change in carbon emissions of the UWS was modeled as the environmental benefit for household choice decisions in ABM. We validated our integration by comparing the simulated reservoir elevations with the reference-year values and comparing where early adoptions emerge with the reported installations. In the results, we first examined the sensitivity of the adoption and diffusion to the market promotion, neighbor's influence, environmental benefits, and economic attractiveness. Our simulation highlights the diffusion from central downtown to the suburban. RWH has higher adoptions than GWR, and RWH starts diffusing much earlier. Reservoir water availability is improved through the adoption of RWH and GWR. As the tradeoffs, reservoirs discharge more water for storage security, and hydropower generation becomes less as the need of water transfer decreases. The UWS do not reduce carbon emissions due to the high electricity consumption of GWR. Utilizing the improved water resources and reducing the impact of decentralized technologies are required for sustainable promotion of water decentralization. Our integrated modeling can be improved by including more critical socio-technical interactions for spatial planning of decentralized water technologies.</t>
  </si>
  <si>
    <t>[Li, Yue; Lu, Zhongming] Hong Kong Univ Sci &amp; Technol, Div Environm &amp; Sustainabil, Clear Water Bay, Kowloon, Hong Kong, Peoples R China; [Khalkhali, Masoumeh; Mo, Weiwei] Univ New Hampshire, Dept Civil &amp; Environm Engn, Durham, NH 03824 USA</t>
  </si>
  <si>
    <t>Lu, ZM (corresponding author), Hong Kong Univ Sci &amp; Technol, Div Environm &amp; Sustainabil, Clear Water Bay, Kowloon, Hong Kong, Peoples R China.;Mo, WW (corresponding author), Univ New Hampshire, Dept Civil &amp; Environm Engn, Durham, NH 03824 USA.</t>
  </si>
  <si>
    <t>Weiwei.Mo@unh.edu; zhongminglu@ust.hk</t>
  </si>
  <si>
    <t>Lu, Zhongming/S-2757-2019; Khalkhali, Masoumeh/AFV-2780-2022</t>
  </si>
  <si>
    <t>Lu, Zhongming/0000-0002-4151-5065; Mo, Weiwei/0000-0002-1893-0797; LI, Yue/0000-0001-8163-6227</t>
  </si>
  <si>
    <t>Hong Kong University of Science and Technology; Guangdong Basic and Applied Basic Research Foundation [2019A1515010828]; National Science Foundation under a CRISP Type I Award [BCS-1638334]</t>
  </si>
  <si>
    <t>Hong Kong University of Science and Technology; Guangdong Basic and Applied Basic Research Foundation; National Science Foundation under a CRISP Type I Award</t>
  </si>
  <si>
    <t>This project was supported by the Hong Kong University of Science and Technology startup, and the Guangdong Basic and Applied Basic Research Foundation (2019A1515010828) . Dr. Weiwei Mo would like to acknowledge the support of the National Science Foundation under a CRISP Type I Award (#BCS-1638334) . The authors thank Drs. Bistra Dilkina and Ge Zhang for part of the System Dynamic Code in Python. The authors would also like to thank the three anonymous reviewers for valuable comments and suggestions. The views and ideas expressed here belong solely to the authors and not to the funding agencies.</t>
  </si>
  <si>
    <t>J CLEAN PROD</t>
  </si>
  <si>
    <t>J. Clean Prod.</t>
  </si>
  <si>
    <t>JUL 2021</t>
  </si>
  <si>
    <t>Green &amp; Sustainable Science &amp; Technology; Engineering, Environmental; Environmental Sciences</t>
  </si>
  <si>
    <t>Science &amp; Technology - Other Topics; Engineering; Environmental Sciences &amp; Ecology</t>
  </si>
  <si>
    <t>UF0QQ</t>
  </si>
  <si>
    <t>IEEE,SICE</t>
  </si>
  <si>
    <t>The electricity production from intermittent renewable energy sources, such as wind and solar power, has increased significantly, which requires the electricity grid to be gradually restructured through different approaches. Demand Response (DR) is one of the examples which is applicable to a broad variety of electricity consumers, from households to sizable industrial processes. However, there is a barrier to implement DR in that consumers may not be willing to change their behaviour or invest in energy management technologies without gaining enough monetary benefits from doing so. The purpose of this study is to investigate the behaviour of electricity consumers who are offered implicit DR solutions and to investigate which parameters that characterise the consumers who adopt these solutions. The study applies an agent-based simulation model that uses separate and independent modules for the domain logic, the business solution logic and the DR adoption decision logic, respectively. Furthermore, the case study chosen for the simulation is a population of domestic water distribution system water towers with pumps whose operation can be coordinated with the hourly electricity prices from the day-ahead spot market. The simulation results show that tower/pump pairs on water distribution systems with higher water demands adopt the implicit DR solution faster. The pumping rate and tank capacities do not have significant impact on the adoption, at least not if they are beyond a certain size. Meanwhile, the simulation also finds the maximum investment cost for the implicit DR solution to be 71,000 DKK, if half of a water tower population must adopt the solution within a 5-year ROI period.</t>
  </si>
  <si>
    <t>Christensen, Kristoffer/AAG-5191-2019; Vaerbak, Magnus/A-8013-2019; Jorgensen, Bo Norregaard/O-9785-2018; Ma, Zheng/O-9674-2018</t>
  </si>
  <si>
    <t>Christensen, Kristoffer/0000-0003-2417-338X; Vaerbak, Magnus/0000-0002-0191-8396; Jorgensen, Bo Norregaard/0000-0001-5678-6602; Demazeau, Yves/0000-0003-4059-9284; Ma, Zheng/0000-0002-9134-1032</t>
  </si>
  <si>
    <t>IEEE/SICE I S SYS IN</t>
  </si>
  <si>
    <t>Computer Science, Interdisciplinary Applications; Engineering, Electrical &amp; Electronic</t>
  </si>
  <si>
    <t>BP8HN</t>
  </si>
  <si>
    <t>Agent-based model; Dual-flush toilets; Water conservation technology; Eco-innovation diffusion</t>
  </si>
  <si>
    <t>WATER CONSERVATION ATTITUDES; INNOVATION DIFFUSION; GENETIC ALGORITHM; NETWORK DESIGN; DEMAND; OPTIMIZATION; MANAGEMENT; BEHAVIOR; PRICE; SIMULATION</t>
  </si>
  <si>
    <t>The spread of individual water conservation behaviors within a population can have large impacts on overall water demand. Agent-based models (ABMs) represent individual actors that update their behaviors over time in response to their environment and other agents, and ABMs have been applied to model the adoption of water conservation behaviors and technology. Existing ABM approaches are calibrated based on cumulative water demand data and use assumptions about household-level adoption behaviors. This research develops an ABM of water appliance (dual-flush toilets) adoption and introduces a new approach to calibrate the ABM while allowing for stochasticity and heterogeneity in agent parameters and adoption decisions. The calibration approach uses a noisy genetic algorithm (NGA), and the ABM is calibrated to match household survey data that was collected in Jaipur, India, in 2015. The NGA is applied multiple times to explore variability in the search, and five solutions were found with similar error values. The best-performing solution is applied to project adoption over a 100-year period for varying climate scenarios, and results show quicker adoption rates for dry climates. Sensitivity analysis was conducted for a parameter that represents a delay in adopting dual-flush toilets and a parameter that represents the importance of drought in making adoption decisions. The model presented in this research can be used to aid water resource planning and to anticipate potential impacts of water conservation policies, such as rebate programs or media campaigns.</t>
  </si>
  <si>
    <t>[Ramsey, E.] North Carolina State Univ, Dept Civil Construct &amp; Environm Engn, 3331 Fitts Woolard Hall,915 Partners Way, Raleigh, NC 27695 USA; [Berglund, E. Z.] North Carolina State Univ, Dept Civil Construct &amp; Environm Engn, 3169 Fitts Woolard Hall,915 Partners Way, Raleigh, NC 27695 USA</t>
  </si>
  <si>
    <t>Ramsey, E (corresponding author), North Carolina State Univ, Dept Civil Construct &amp; Environm Engn, 3331 Fitts Woolard Hall,915 Partners Way, Raleigh, NC 27695 USA.</t>
  </si>
  <si>
    <t>This work was supported by the National Science Foundation Graduate Research Fellowship Program under Grant No. DGE-1252376 and the Fulbright-Nehru Student Research Grant, which is administered by the United States Indian Educational Foundation and funded by the Government of India and the United States Government. The authors would like to thank the Centre for Development Communication (CDC), Dr. Rohit Goyal, and local graduate and undergraduate students at the Malaviya Nagar Institute of Technology for conducting surveys used as the basis for this model.</t>
  </si>
  <si>
    <t>J WATER RES PLAN MAN</t>
  </si>
  <si>
    <t>J. Water Resour. Plan. Manage.-ASCE</t>
  </si>
  <si>
    <t>UD9IV</t>
  </si>
  <si>
    <t>Growing population centers in the arid southwest increase the demand for water, which is typically met through increased groundwater withdrawals. Hydro-climatic extremes due to climate change may also increase demands and decrease the replenishment of groundwater supply. Groundwater aquifers typically cross watershed, municipal, and management boundaries, and as a result, multiple diverse agencies manage a shared resource. Municipalities and management districts define individual demand management strategies that adapt water consumption to falling groundwater levels. The interactions among governing agencies, consumers, and the environment influence the performance of local management strategies and the availability of regional groundwater resources. This research develops an agent-based modeling (ABM) framework to analyze the dynamic interactions among changing water demands and limited groundwater resources under the stresses of population growth and climate change scenarios. Households are initialized as agents with properties and attributes to define indoor water use, outdoor water use, and water use reduction. Policy-maker agents are encoded to represent governing agencies that mandate or encourage water use restrictions. Demand management strategies are simulated as the response of a policy-maker agent to groundwater levels, safe yield, and climate variables. The framework is applied for municipalities located in the Verde River Basin, Arizona that withdraw groundwater from the Verde Formation-Basin Fill-Carbonate aquifer system. The effects of management strategies on water savings and basin-wide groundwater levels are explored, based on water use demands and reductions in different sectors of municipal water use. Insights gained through this simulation study can be used to guide groundwater policy-making under changing hydro-climatic scenarios for a long-term planning horizon.</t>
  </si>
  <si>
    <t>[Al-Amin, Shams; Berglund, Emily Z.] North Carolina State Univ, Dept Civil Construct &amp; Environm Engn, Raleigh, NC 27695 USA; [Larson, Kelli L.] Arizona State Univ, Sch Sustainabil, Sch Geog Sci &amp; Urban Planning, Tempe, AZ 85287 USA</t>
  </si>
  <si>
    <t>Al-Amin, S (corresponding author), North Carolina State Univ, Dept Civil Construct &amp; Environm Engn, Raleigh, NC 27695 USA.</t>
  </si>
  <si>
    <t>salamin@ncsu.edu; emily_berglund@ncsu.edu; Kelli.Larson@asu.edu</t>
  </si>
  <si>
    <t>This research is supported by the National Science Foundation, Grant Number 1204368. Opinions and findings are those of the authors and do not necessarily reflect the views of the funding agency.</t>
  </si>
  <si>
    <t>BG8ZE</t>
  </si>
  <si>
    <t>Intelligent simulation; Water resources carrying capacity; Aquatic environment economic policy; Sewage treatment fee; Watershed management</t>
  </si>
  <si>
    <t>WATER-RESOURCES MANAGEMENT; SYSTEM DYNAMICS MODEL; IMPACT ASSESSMENT; RIVER-BASIN; CITY; STRATEGIES; LANDSCAPE; FRAMEWORK; CONFLICTS; DEMAND</t>
  </si>
  <si>
    <t>Rapid urbanization and population growth have resulted in serious water shortage and pollution of the aquatic environment, which are important reasons for the complex increase in environmental deterioration in the region. This study examines the environmental consequences and economic impacts of water resource shortages under variant economic policies; however, this requires complex models that jointly consider variant agents and sectors within a systems perspective. Thus, we propose a complex system model that couples multi-agent based models (ABM) and system dynamics (SD) models to simulate the impact of alternative economic policies on water use and pricing. Moreover, this model took the constraint of the local water resources carrying capacity into consideration. Results show that to achieve the 13th Five Year Plan targets in Dianchi, water prices for local residents and industries should rise to 3.23 and 4.99 CNY/m(3), respectively. The corresponding sewage treatment fees for residents and industries should rise to 1.50 and 2.25 CNY/m(3), respectively, assuming comprehensive adjustment of industrial structure and policy. At the same time, the local government should exercise fine-scale economic policy combined with emission fees assessed for those exceeding a standard, and collect fines imposed as punishment for enterprises that exceed emission standards. When fines reach 500,000 CNY, the total number of enterprises that exceed emission standards in the basin can be controlled within 1%. Moreover, it is suggested that the volume of water diversion in Dianchi should be appropriately reduced to 3.06 x 10(8) m(3). The reduced expense of water diversion should provide funds to use for the construction of recycled water facilities. Then the local rise in the rate of use of recycled water should reach 33%, and 1.4 CNY/m(3) for the price of recycled water could be provided to ensure the sustainable utilization of local water resources. (c) 2017 Elsevier B.V. All rights reserved.</t>
  </si>
  <si>
    <t>[Wang, Huihui; Zhang, Jiarui; Zeng, Weihua] Beijing Normal Univ, Sch Environm, Beijing 100875, Peoples R China; [Zhang, Jiarui] Tianjin Port &amp; Waterway Prospect &amp; Design Res Ins, China Commun Construct Co, Tianjin 300461, Peoples R China</t>
  </si>
  <si>
    <t>Zeng, WH (corresponding author), Beijing Normal Univ, Sch Environm, Beijing 100875, Peoples R China.</t>
  </si>
  <si>
    <t>zengwh@bnu.edu.cn</t>
  </si>
  <si>
    <t>Zeng, weihua/AAB-3169-2019; Zeng, Weihua/Q-1774-2019</t>
  </si>
  <si>
    <t>National Major Science and Technology Projects for Water Pollution Control and Treatment of China [2012ZX07102]</t>
  </si>
  <si>
    <t>National Major Science and Technology Projects for Water Pollution Control and Treatment of China</t>
  </si>
  <si>
    <t>This research was supported by the National Major Science and Technology Projects for Water Pollution Control and Treatment of China (Nos. 2012ZX07102). The authors would like to thank the researchers from the Yunnan Institute of Environmental Science for their support and help, and to the anonymous reviewers for their helpful and constructive comments.</t>
  </si>
  <si>
    <t>ELSEVIER SCIENCE BV</t>
  </si>
  <si>
    <t>PO BOX 211, 1000 AE AMSTERDAM, NETHERLANDS</t>
  </si>
  <si>
    <t>FU8UD</t>
  </si>
  <si>
    <t>Aslani, ZH; Omidvar, B; Karbassi, A</t>
  </si>
  <si>
    <t>Aslani, Zohreh Hashemi; Omidvar, Babak; Karbassi, Abdolreza</t>
  </si>
  <si>
    <t>Integrated model for land-use transformation analysis based on multi-layer perception neural network and agent-based model</t>
  </si>
  <si>
    <t>Agent-based model; Google Earth Engine; Human decision-making; Land-use change; Multi-layer perceptron (MLP); Transition potential maps</t>
  </si>
  <si>
    <t>CELLULAR-AUTOMATA; LOGISTIC-REGRESSION; SATELLITE IMAGERY; MARKOV-CHAIN; RIVER-BASIN; CLUE-S; COVER; CLASSIFICATION; RUNOFF; IMPACT</t>
  </si>
  <si>
    <t>The efficacy of land-use changes on aquatic ecosystems has been extensively studied in recent decades. Water resource management needs to understand the relationship between land-use change patterns and water quality, especially in urban areas. Hence, recognizing spatial-temporal changes in land use is required for sustainable development and proper water resource management. This research has developed an integrated model based on agent-based model (ABM) and multi-layer perceptron (MLP) neural network technique to predict the future land-use transformation tested on the North Ahvaz watershed, Iran. Random forest-supervised classification technique was applied to derive the land-use maps using Landsat 1989, 2004, and 2019 images in the Google Earth Engine (GEE) platform. The overall accuracy of classified land-use images was 0.82, 0.81, and 0.84, respectively, with the kappa coefficient of 0.74, 0.72, and 0.78. Land-use change analysis and generating transition potential maps were carried out in land change modeler (LCM) through MLP based on seven driving factors. Then, the land-use map for 2019 (for validation) and 2040 was simulated using the transition potential map and an agent-based approach. The ABM scenario was farmers' and urban landowners' decisions to convert undeveloped and unprotected lands to residential lands. The results showed that residential areas and pasture lands would grow by 67.96 km(2) and 64.63 km(2), and agricultural and barren lands would degrade about 84.19 km(2) and 47.98 km(2) during 2019-2040, respectively. Predicting land-use change through the integrated MLP-ABM model may be used to evaluate the effects of land-use change coming out of human decision-making.</t>
  </si>
  <si>
    <t>[Aslani, Zohreh Hashemi; Omidvar, Babak; Karbassi, Abdolreza] Univ Tehran, Coll Engn, Sch Environm, Dept Environm Engn, Tehran, Iran</t>
  </si>
  <si>
    <t>Omidvar, B (corresponding author), Univ Tehran, Coll Engn, Sch Environm, Dept Environm Engn, Tehran, Iran.</t>
  </si>
  <si>
    <t>bomidvar@ut.ac.ir</t>
  </si>
  <si>
    <t>ENVIRON SCI POLLUT R</t>
  </si>
  <si>
    <t>Environ. Sci. Pollut. Res.</t>
  </si>
  <si>
    <t>10.1007/s11356-022-19392-8</t>
  </si>
  <si>
    <t>APR 2022</t>
  </si>
  <si>
    <t>0L1BY</t>
  </si>
  <si>
    <t>WOS:000781219000008</t>
  </si>
  <si>
    <t>Schwarz, N; Ernst, A</t>
  </si>
  <si>
    <t>Schwarz, Nina; Ernst, Andreas</t>
  </si>
  <si>
    <t>Agent-based modeling of the diffusion of environmental innovations - An empirical approach</t>
  </si>
  <si>
    <t>TECHNOLOGICAL FORECASTING AND SOCIAL CHANGE</t>
  </si>
  <si>
    <t>Agent-based model; Innovation diffusion; Water saving; Survey</t>
  </si>
  <si>
    <t>INFORMATION-TECHNOLOGY; BEHAVIOR; ADOPTION</t>
  </si>
  <si>
    <t>This paper presents an agent-based model of the diffusion of water-saving innovations. The empirical foundation of this model is a study, which was carried out for that specific purpose. As an example case, the diffusion of three water-related innovations in Southern Germany was chosen. The model represents a real geographic area and simulates the diffusion of showerheads, toilet flushes, and rain-harvesting systems. Agents are households of certain lifestyles, as represented by the Sinus-Milieus (R) from commercial Marketing. Agents use two different kinds of decision rules to decide upon adoption or rejection of the modeled innovations: A cognitively demanding deliberate decision rule and a very simple decision heuristic. Thus, the model integrates concepts of bounded rationality. The overall framework for decision-making is the Theory of Planned Behavior, which has been elaborated using innovation characteristics from diffusion research. The model was calibrated with empirical data stemming from a questionnaire survey and validated against independent data. Scenarios for the nearer future show that water-saving innovations will diffuse even without further promotion, and different promotion strategies that relate specifically to both innovations and lifestyles can be pointed out. (C) 2008 Elsevier Inc. All rights reserved.</t>
  </si>
  <si>
    <t>[Schwarz, Nina] UFZ Helmholtz Ctr Environm Res, Dept Cornputat Landscape Ecol, D-04318 Leipzig, Germany; [Ernst, Andreas] Univ Kassel, Ctr Environm Syst Res, D-34109 Kassel, Germany</t>
  </si>
  <si>
    <t>Schwarz, N (corresponding author), UFZ Helmholtz Ctr Environm Res, Dept Cornputat Landscape Ecol, Permoserstr 15, D-04318 Leipzig, Germany.</t>
  </si>
  <si>
    <t>nina.schwarz@ufz.de; ernst@cesr.de</t>
  </si>
  <si>
    <t>Ernst, Andreas/D-5869-2012; Schwarz, Nina/A-5409-2011</t>
  </si>
  <si>
    <t>Schwarz, Nina/0000-0003-4624-488X</t>
  </si>
  <si>
    <t>ELSEVIER SCIENCE INC</t>
  </si>
  <si>
    <t>STE 800, 230 PARK AVE, NEW YORK, NY 10169 USA</t>
  </si>
  <si>
    <t>0040-1625</t>
  </si>
  <si>
    <t>1873-5509</t>
  </si>
  <si>
    <t>TECHNOL FORECAST SOC</t>
  </si>
  <si>
    <t>Technol. Forecast. Soc. Chang.</t>
  </si>
  <si>
    <t>10.1016/j.techfore.2008.03.024</t>
  </si>
  <si>
    <t>Business; Regional &amp; Urban Planning</t>
  </si>
  <si>
    <t>Business &amp; Economics; Public Administration</t>
  </si>
  <si>
    <t>437WL</t>
  </si>
  <si>
    <t>WOS:000265517500006</t>
  </si>
  <si>
    <t>NEXUS</t>
  </si>
  <si>
    <t>Deep connections between water resources and food and energy production-the food-energy-water (FEW) nexus-complicate the challenge of sustainably managing an uncertain water supply. We present an agent-based model as a testbed for studying different approaches to managing the FEW nexus and apply the model to the 2017-2018 water crisis in Cape Town, South Africa. We treat the FEW nexus connecting municipal water use by urban residents, agricultural water use by vineyards, and hydroelectric generation from reservoirs. We compare two scenarios for responding to drought: business-as-usual (BAU), and holistic-adaptive management (HAM), where BAU takes no action until the monthly supply is insufficient to meet demand, whereas HAM takes action by raising water tariffs when the reservoir storage level drops below its pre-drought monthly average. Simulation results suggest that holistic-adaptive management can alleviate the impact of drought on agricultural production, hydropower generation, and the availability of water for residential consumption.</t>
  </si>
  <si>
    <t>[Ding, Ke] Vanderbilt Univ, Dept Civil &amp; Environm Engn, 2301 Vanderbilt Pl,PMB 351831, Nashville, TN 37235 USA; [Gilligan, Jonathan M.] Vanderbilt Univ, Dept Earth &amp; Environm Sci, 2301 Vanderbilt Pl,PMB 351805, Nashville, TN 37235 USA; [Hornberger, George M.] Vanderbilt Univ, Vanderbilt Inst Energy &amp; Environm, Dept Civil &amp; Environm Engn, 2301 Vanderbilt Pl,PMB 351831, Nashville, TN 37235 USA</t>
  </si>
  <si>
    <t>Ding, K (corresponding author), Vanderbilt Univ, Dept Civil &amp; Environm Engn, 2301 Vanderbilt Pl,PMB 351831, Nashville, TN 37235 USA.</t>
  </si>
  <si>
    <t>ke.ding@vanderbilt.edu; jonathan.gilligan@vanderbilt.edu; george.m.hornherger@vanderbilt.edu</t>
  </si>
  <si>
    <t>Computer Science, Theory &amp; Methods</t>
  </si>
  <si>
    <t>BO8XL</t>
  </si>
  <si>
    <t>diarrheal disease; wash intervention; agent-based model; sensitivity analysis; time-dependent effects</t>
  </si>
  <si>
    <t>GLOBAL SENSITIVITY-ANALYSIS; UNCERTAINTY; CONTAMINATION; DIARRHEA; SYSTEMS; TOOLS</t>
  </si>
  <si>
    <t>The effects of water, sanitation, and hygiene (WASH) interventions have been well acknowledged to reduce the risk from diarrheal disease-causing pathogens. In spite of the recognized importance of WASH interventions on the reduction of diarrheal disease, there are still gaps in the understanding of the time-varying effects of interventions. To bridge this research gap, we developed agent-based models (ABMs) of diarrheal disease transmission in a community context. In the model, infections occur via two pathways: (i) between household members within the household environment and (ii) from the community environment outside the household. To measure the effectiveness of WASH interventions, we performed global sensitivity analysis (GSA) at the macro and micro temporal scales, varying the level of intervention coverage in the community. We simulated three intervention strategies, implemented separately in the experiments. The clean drinking water intervention, sanitation intervention, and hand washing intervention had similar success rates in the long-term. The handwashing intervention had the largest immediate effect. This highlights that proper short- and long-term intervention strategies need to be considered for disease control and the effective management of limited resources.</t>
  </si>
  <si>
    <t>[Kang, Jeon-Young] Univ Illinois, Dept Geog &amp; Geog Informat Sci, CyberGIS Ctr Adv Digital &amp; Spatial Studies, Urbana, IL 61801 USA; [Aldstadt, Jared] SUNY Buffalo, Univ Buffalo, Dept Geog, Buffalo, NY USA</t>
  </si>
  <si>
    <t>Kang, JY (corresponding author), Univ Illinois, Dept Geog &amp; Geog Informat Sci, CyberGIS Ctr Adv Digital &amp; Spatial Studies, Urbana, IL 61801 USA.</t>
  </si>
  <si>
    <t>geokang@illinois.edu</t>
  </si>
  <si>
    <t>TROP MED INT HEALTH</t>
  </si>
  <si>
    <t>Trop. Med. Int. Health</t>
  </si>
  <si>
    <t>JUN 2019</t>
  </si>
  <si>
    <t>Public, Environmental &amp; Occupational Health; Tropical Medicine</t>
  </si>
  <si>
    <t>IN4CG</t>
  </si>
  <si>
    <t>Residential water; Efficiency; Affordability; Water pricing; Cap and trade; Price elasticity; Agent-based model</t>
  </si>
  <si>
    <t>CONSUMER DEMAND; SPECIFICATION; CONSERVATION; MANAGEMENT; POLICIES; FORM</t>
  </si>
  <si>
    <t>In practice, water pricing is the main economic instrument used to discourage the wasteful use of residential water. Owing to considerations of affordability, residential water is systematically underpriced because water is essential for life. Such a low price results in water being used inefficiently. This paper proposes a system that supplements the existing price system with a cap-and-trade measure to reconcile conflicts among the goals of residential water use. It forces all people (independent of income) to be faced with reasonable price signals and to use water efficiently. The poor could, however, gain from trade and afford water. By taking advantage of the agent-based model, a simulation of this system applied to Taipei, Taiwan shows that those with lower income per capita are better off under this system even though the equilibrium price of residential water is higher. The simulated average price elasticity of market demand is -0.449.</t>
  </si>
  <si>
    <t>[Hung, Ming-Feng; Chie, Bin-Tzong] Tamkang Univ, Dept Ind Econ, New Taipei City 25137, Taiwan</t>
  </si>
  <si>
    <t>Hung, MF (corresponding author), Tamkang Univ, Dept Ind Econ, New Taipei City 25137, Taiwan.</t>
  </si>
  <si>
    <t>eureka@mail.tku.edu.tw</t>
  </si>
  <si>
    <t>059UP</t>
  </si>
  <si>
    <t>Food-energy-water Nexus; Demand-side management; Drought mitigation; Cape Town, South Africa; Agent-based model; Coupled human-natural system model</t>
  </si>
  <si>
    <t>NEXUS; SUSTAINABILITY; EMISSIONS</t>
  </si>
  <si>
    <t>The impact of human activities and climate change occurs across a range of spatial and temporal scales, and the city or regional scale is critical for managing food-energy-water (FEW) resources. We develop a coupled human-natural system model for Cape Town, South Africa, which consists of an agent-based model and a regional hydrologic model, to study the FEW nexus connecting the agricultural, urban, and hydroelectric generation sectors. We use the model to compare three policies-a simple adaptive approach, adaptation with free water to indigent households, and water supply augmentation-and assess their ability to provide reliable FEW services to the different stakeholders under four different climate scenarios, representing moderate to severe amounts of warming. Our results indicate that Cape Town is likely to face increasing water stress as temperatures rise, and that adaptation strategies could effectively mitigate the effects of water limitations and avoid severe failures in providing FEW services across sectors. One way to manage demand for FEW services is by adjusting water price tariffs, but high prices create inequality in access to water for households with different incomes. Our analysis suggests that the water supply system in Cape Town may already be at, if not over, its sustainable capacity within the FEW nexus. Our model serves as a test-bed for assessing policies to manage stresses on water resources for the benefit of stakeholders across FEW sectors. This model can be adapted to cities and regions around the globe.</t>
  </si>
  <si>
    <t>[Ding, Ke Jack; Hornberger, George M.] Vanderbilt Univ, Civil &amp; Environm Engn, 221 Kirkland Hall, Nashville, TN 37235 USA; [Gilligan, Jonathan M.; Hornberger, George M.] Vanderbilt Univ, Earth &amp; Environm Sci, 221 Kirkland Hall, Nashville, TN 37235 USA; [Ding, Ke Jack; Gilligan, Jonathan M.; Hornberger, George M.] Vanderbilt Univ, Vanderbilt Inst Energy &amp; Environm, 221 Kirkland Hall, Nashville, TN 37235 USA; [Yang, Y. C. Ethan] Lehigh Univ, Civil &amp; Environm Engn, Bethlehem, PA 18015 USA; [Wolski, Piotr] Univ Cape Town, Climate Syst Anal Grp, Rondebosch, South Africa</t>
  </si>
  <si>
    <t>Ding, KJ (corresponding author), Vanderbilt Univ, Civil &amp; Environm Engn, 221 Kirkland Hall, Nashville, TN 37235 USA.</t>
  </si>
  <si>
    <t>ke.ding@vanderbilt.edu</t>
  </si>
  <si>
    <t>Gilligan, Jonathan/AAZ-5377-2021; Wolski, Piotr/J-9133-2014</t>
  </si>
  <si>
    <t>Gilligan, Jonathan/0000-0003-1375-6686; Wolski, Piotr/0000-0002-6120-6593; Yang, Y. C. Ethan/0000-0002-7982-7988</t>
  </si>
  <si>
    <t>APR 2021</t>
  </si>
  <si>
    <t>TA5SQ</t>
  </si>
  <si>
    <t>freshwater sustainability; commercial water consumption; intermittent supply; tanker water; agent-based modeling</t>
  </si>
  <si>
    <t>The Hashemite Kingdom of Jordan is confronted with a severe freshwater crisis shaped by excess water demand and intermittent public supply. In Jordan's capital and most populous city, Amman, the pervasive water shortage gave rise to private tanker water operations, which transport groundwater from wells in the vicinity of the city and sell it to urban consumers. These tanker water markets have received little attention in the literature up to date, particularly with regard to their relevance for commercial water users. This paper aims to empirically estimate the water demand of commercial establishments in Amman under public supply rationing and to assess to which extent tanker operations contribute to meeting commercial water needs. Building on a prior simulation model of residential water consumption, the results of three extensive surveys concerned with tanker water markets and various geographic data, we develop a spatial agent-based model of the water consumption behavior of commercial establishments in different sizes. According to our estimation, 35-45% of the overall water volume consumed by the commercial sector stems from tanker operations, depending on the season. We find that the local disparities in access to affordable network water, along with the dispersion of groundwater wells around the city, result in considerable spatial differences in tanker water consumption. The outcome of this analysis could be relevant for policy attempting to enhance freshwater sustainability in Jordan.</t>
  </si>
  <si>
    <t>[Zozmann, Heinrich; Klassert, Christian; Sigel, Katja; Gawel, Erik; Klauer, Bernd] UFZ Helmholtz Ctr Environm Res, Dept Econ, Permoser Str 15, D-04318 Leipzig, Germany; [Gawel, Erik] Univ Leipzig, Inst Infrastruct &amp; Resources Management, Fac Econ &amp; Business Management, Grimmaische Str 12, D-04109 Leipzig, Germany</t>
  </si>
  <si>
    <t>Zozmann, H (corresponding author), UFZ Helmholtz Ctr Environm Res, Dept Econ, Permoser Str 15, D-04318 Leipzig, Germany.</t>
  </si>
  <si>
    <t>heinrich.zozmann@ufz.de; christian.klassert@ufz.de; katja.sigel@ufz.de; erik.gawel@ufz.de; bernd.klauer@ufz.de</t>
  </si>
  <si>
    <t>Klassert, Christian/AAR-5144-2021; Zozmann, Heinrich/AAD-3830-2021; Klauer, Bernd/A-6304-2012; Gawel, Erik/G-8130-2015</t>
  </si>
  <si>
    <t>Klassert, Christian/0000-0003-0676-2455; Zozmann, Heinrich/0000-0002-5642-7826; Klauer, Bernd/0000-0003-3484-2903; Gawel, Erik/0000-0003-3634-9717</t>
  </si>
  <si>
    <t>US National Science Foundation [GEO/OAD-1342869, ICER/EAR-1829999]; Deutsche Forschungsgemeinschaft (German Research Foundation); German Federal Ministry of Education and Research (BMBF)</t>
  </si>
  <si>
    <t>US National Science Foundation(National Science Foundation (NSF)); Deutsche Forschungsgemeinschaft (German Research Foundation)(German Research Foundation (DFG)); German Federal Ministry of Education and Research (BMBF)(Federal Ministry of Education &amp; Research (BMBF))</t>
  </si>
  <si>
    <t>This work was conducted as part of the Belmont Forum water security theme for which coordination was supported by the US National Science Foundation under grant GEO/OAD-1342869 to Stanford University. This work was also conducted as part of the Belmont Forum Sustainable Urbanisation Global Initiative (SUGI)/Food-Water-Energy Nexus theme for which coordination was supported by the US National Science Foundation under grant ICER/EAR-1829999 to Stanford University. Any opinions, findings, and conclusions or recommendations expressed in this material do not necessarily reflect the views of the funding organizations. The authors of this work would like to acknowledge support from Deutsche Forschungsgemeinschaft (German Research Foundation) and the German Federal Ministry of Education and Research (BMBF). Any opinions, findings, and conclusions or recommendations expressed in this material also do not necessarily reflect the views of Deutsche Forschungsgemeinschaft and BMBF.</t>
  </si>
  <si>
    <t>HO4NM</t>
  </si>
  <si>
    <t>Kanta, L; Berglund, EZ</t>
  </si>
  <si>
    <t>Exploring Tradeoffs in Demand- Side and Supply- Side Management of Urban Water Resources Using Agent- Based Modeling and Evolutionary Computation</t>
  </si>
  <si>
    <t>SYSTEMS</t>
  </si>
  <si>
    <t>agent-based modeling; complex adaptive systems analysis; multi-objective optimization; urban water resources management; sustainability</t>
  </si>
  <si>
    <t>MULTIOBJECTIVE GENETIC ALGORITHM; DROUGHT MANAGEMENT</t>
  </si>
  <si>
    <t>Urban water supply systems may be managed through supply-side and demand-side strategies, which focus on water source expansion and demand reductions, respectively. Supply-side strategies bear infrastructure and energy costs, while demand-side strategies bear costs of implementation and inconvenience to consumers. To evaluate the performance of demand-side strategies, the participation and water use adaptations of consumers should be simulated. In this study, a Complex Adaptive Systems (CAS) framework is developed to simulate consumer agents that change their consumption to affect the withdrawal from the water supply system, which, in turn influences operational policies and long-term resource planning. Agent-based models are encoded to represent consumers and a policy maker agent and are coupled with water resources system simulation models. The CAS framework is coupled with an evolutionary computation-based multi-objective methodology to explore tradeoffs in cost, inconvenience to consumers, and environmental impacts for both supply-side and demand-side strategies. Decisions are identified to specify storage levels in a reservoir that trigger: (1) increases in the volume of water pumped through inter-basin transfers from an external reservoir; and (2) drought stages, which restrict the volume of water that is allowed for residential outdoor uses. The proposed methodology is demonstrated for Arlington, Texas, water supply system to identify non-dominated strategies for an historic drought decade. Results demonstrate that pumping costs associated with maximizing environmental reliability exceed pumping costs associated with minimizing restrictions on consumer water use.</t>
  </si>
  <si>
    <t>[Kanta, Lufthansa] Texas A&amp;M Univ, Zachry Dept Civil Engn, College Stn, TX 77843 USA; [Berglund, Emily Zechman] N Carolina State Univ, Civil Construct &amp; Environm Engn, Campus Box 7908, Raleigh, NC 27695 USA</t>
  </si>
  <si>
    <t>Berglund, EZ (corresponding author), N Carolina State Univ, Civil Construct &amp; Environm Engn, Campus Box 7908, Raleigh, NC 27695 USA.</t>
  </si>
  <si>
    <t>kanta.lufthansa@gmail.com; emily_berglund@ncsu.edu</t>
  </si>
  <si>
    <t>City of Arlington; Tarrant Regional Water District; National Science Foundation [ECC-0926893]</t>
  </si>
  <si>
    <t>City of Arlington; Tarrant Regional Water District; National Science Foundation(National Science Foundation (NSF))</t>
  </si>
  <si>
    <t>The authors express their appreciation to the City of Arlington and Tarrant Regional Water District for their support and sharing of valuable data, reports, and insights. Any opinions, findings, and conclusions or recommendations expressed in this paper are those of the authors and do not necessarily reflect the views of either City of Arlington or Tarrant Regional Water District. The authors express gratitude to the editorial board and two anonymous reviewers for their detailed attention to the paper and their many helpful comments and suggestions to improve the manuscript. This material is based on work supported by the National Science Foundation under Grant ECC-0926893.</t>
  </si>
  <si>
    <t>2079-8954</t>
  </si>
  <si>
    <t>SYSTEMS-BASEL</t>
  </si>
  <si>
    <t>Systems-Basel</t>
  </si>
  <si>
    <t>Social Sciences, Interdisciplinary</t>
  </si>
  <si>
    <t>Social Sciences - Other Topics</t>
  </si>
  <si>
    <t>DA4TS</t>
  </si>
  <si>
    <t>Green Published, gold, Green Submitted</t>
  </si>
  <si>
    <t>WOS:000367794500006</t>
  </si>
  <si>
    <t>Cockburn, D; Crabtree, SA; Kobti, Z; Kohler, TA; Bocinsky, RK</t>
  </si>
  <si>
    <t>Cockburn, Denton; Crabtree, Stefani A.; Kobti, Ziad; Kohler, Timothy A.; Bocinsky, R. Kyle</t>
  </si>
  <si>
    <t>Simulating Social and Economic Specialization in Small-Scale Agricultural Societies</t>
  </si>
  <si>
    <t>JASSS-THE JOURNAL OF ARTIFICIAL SOCIETIES AND SOCIAL SIMULATION</t>
  </si>
  <si>
    <t>Specialization; Agent-Based Modeling; Archaeology; Social Networks; Models of Social Influence; Barter</t>
  </si>
  <si>
    <t>DIVISION-OF-LABOR; AGENT SPECIALIZATION; MODELS</t>
  </si>
  <si>
    <t>We introduce a model for agent specialization in small-scale human societies that incorporates planning based on social influence and economic state. Agents allocate their time among available tasks based on exchange, demand, competition from other agents, family needs, and previous experiences. Agents exchange and request goods using barter, balanced reciprocal exchange, and generalized reciprocal exchange. We use a weight-based reinforcement model for the allocation of resources among tasks. The Village Ecodynamics Project (VEP) area acts as our case study, and the work reported here extends previous versions of the VEP agent-based model (Village). This model simulates settlement and subsistence practices in Pueblo societies of the central Mesa Verde region between A.D. 600 and 1300. In the base model on which we build here, agents represent households seeking to minimize their caloric costs for obtaining enough calories, protein, fuel, and water from a landscape which is always changing due to both exogenous factors (climate) and human resource use. Compared to the baseline condition of no specialization, specialization in conjunction with barter increases population wealth, global population size, and degree of aggregation. Differences between scenarios for specialization in which agents use only a weight-based model for time allocation among tasks, and one in which they also consider social influence, are more subtle. The networks generated by barter in the latter scenario exhibit higher clustering coefficients, suggesting that social influence allows a few agents to assume particularly influential roles in the global exchange network.</t>
  </si>
  <si>
    <t>[Cockburn, Denton] Univ Windsor, Verdun, PQ H4H 1Z8, Canada; [Crabtree, Stefani A.; Kohler, Timothy A.; Bocinsky, R. Kyle] Washington State Univ, Dept Anthropol, Pullman, WA 99164 USA; [Kobti, Ziad] Univ Windsor, Sch Comp Sci, Verdun, PQ N9B 3P4, Canada</t>
  </si>
  <si>
    <t>Crabtree, SA (corresponding author), Washington State Univ, Dept Anthropol, Coll Hall, Pullman, WA 99164 USA.</t>
  </si>
  <si>
    <t>kanielc@gmail.com; stefani.crabtree@email.wsu.edu; kobti@uwindsor.ca; tako@wsu.edu; bocinsky@wsu.edu</t>
  </si>
  <si>
    <t>Bocinsky, R. Kyle/0000-0003-1862-3428; Kobti, Ziad/0000-0001-9503-9730</t>
  </si>
  <si>
    <t>J A S S S</t>
  </si>
  <si>
    <t>GUILDFORD</t>
  </si>
  <si>
    <t>UNIV SURREY, DEPT SOCIOLOGY, GUILDFORD GU2 7XH, SURREY, ENGLAND</t>
  </si>
  <si>
    <t>1460-7425</t>
  </si>
  <si>
    <t>JASSS-J ARTIF SOC S</t>
  </si>
  <si>
    <t>295OF</t>
  </si>
  <si>
    <t>WOS:000330124700004</t>
  </si>
  <si>
    <t>HOUSEHOLD DRINKING-WATER; MICROBIOLOGICAL EFFECTIVENESS; DEVELOPING-COUNTRIES; DISINFECTING WATER; DIARRHEA; QUALITY; RISK; INTERVENTIONS; SANITATION; DISEASE</t>
  </si>
  <si>
    <t>Researchers have long studied the causes and prevention strategies of poor household water quality and early childhood diarrhea using intervention-control trials. Although the results of such trails can lead to useful information, they do not capture the complexity of this natural/engineered/social system. We report on the development of an agent-based model (ABM) to study such a system in Limpopo, South Africa. The study is based on four years of field data collection to accurately capture essential elements of the communities and their water contamination chain. An extensive analysis of those elements explored behaviors including water collection and treatment frequency as well as biofilm buildup in water storage containers, source water quality, and water container types. Results indicate that interventions must be optimally implemented in order to see significant reductions in early childhood diarrhea (ECD). Household boiling frequency, source water quality, water container type, and the biofilm layer contribution were deemed to have significant impacts on ECD. Furthermore, concurrently implemented highly effective interventions were shown to reduce diarrhea rates to very low levels even when other, less important practices were suboptimal. This technique can be used by a variety of stakeholders when designing interventions to reduce ECD incidences in similar settings.</t>
  </si>
  <si>
    <t>[Mellor, Jonathan E.; Smith, James A.] Univ Virginia, Dept Civil &amp; Environm Engn, Charlottesville, VA 22903 USA; [Learmonth, Gerard P.] Univ Virginia, Dept Syst Engn, Charlottesville, VA 22903 USA; [Dillingham, Rebecca A.] Univ Virginia, Ctr Global Hlth, Sch Med, Charlottesville, VA 22903 USA; [Netshandama, Vhonani O.] Univ Venda, Limpopo, South Africa</t>
  </si>
  <si>
    <t>Smith, JA (corresponding author), Univ Virginia, Dept Civil &amp; Environm Engn, Charlottesville, VA 22903 USA.</t>
  </si>
  <si>
    <t>jsmith@virginia.edu</t>
  </si>
  <si>
    <t>Fogarty International Center at the National Institutes of Health; American Reinvestment and Recovery Act (ARRA) funding [1R25TW007518-03S1, 1R24TW008798]; NIH National Institute of Allergy and Iniectious Diseases (NIAID) [K23AI077339]; U.S. Environmental Protection Agency (EPA) [FP91728601]; FOGARTY INTERNATIONAL CENTER [R25TW007518, R24TW008798] Funding Source: NIH RePORTER; NATIONAL INSTITUTE OF ALLERGY AND INFECTIOUS DISEASES [K23AI077339] Funding Source: NIH RePORTER</t>
  </si>
  <si>
    <t>Fogarty International Center at the National Institutes of Health(United States Department of Health &amp; Human ServicesNational Institutes of Health (NIH) - USANIH Fogarty International Center (FIC)); American Reinvestment and Recovery Act (ARRA) funding; NIH National Institute of Allergy and Iniectious Diseases (NIAID); U.S. Environmental Protection Agency (EPA)(United States Environmental Protection Agency); FOGARTY INTERNATIONAL CENTER(United States Department of Health &amp; Human ServicesNational Institutes of Health (NIH) - USANIH Fogarty International Center (FIC)); NATIONAL INSTITUTE OF ALLERGY AND INFECTIOUS DISEASES(United States Department of Health &amp; Human ServicesNational Institutes of Health (NIH) - USANIH National Institute of Allergy &amp; Infectious Diseases (NIAID))</t>
  </si>
  <si>
    <t>This research was supported by the Fogarty International Center at the National Institutes of Health and American Reinvestment and Recovery Act (ARRA) funding (Grant numbers 1R25TW007518-03S1 and 1R24TW008798) and an NIH National Institute of Allergy and Iniectious Diseases (NIAID) mentored patient-oriented research career development award: K23AI077339. It was also developed under STAR Fellowship Assistance Agreement no. FP91728601 awarded by the U.S. Environmental Protection Agency (EPA). It has not been formally reviewed by EPA. The views expressed in this publication are solely those of the authors, and EPA does not endorse any products or commercial services mentioned in this publication. We would like to thank a number of our collaborators without whose help this project would not have been possible. The Mal-ED project and their helpful researchers provided us with a great deal of data used to substantiate the model. Jeffrey Demarest developed the first version of the ABM software with Sheree Pagsuyoin also being a integral part of that work. Univen students Elly Mboneni and Kwathiso Netshifhefhe served the project through their excellent community work. UVA Wise student Rachel Hensley was integral in he efforts at field data collection. Finally, we would like to thank all of the other members of the Water and Health in Limpopo Project whose framework made this work possible.</t>
  </si>
  <si>
    <t>AMER CHEMICAL SOC</t>
  </si>
  <si>
    <t>1155 16TH ST, NW, WASHINGTON, DC 20036 USA</t>
  </si>
  <si>
    <t>ENVIRON SCI TECHNOL</t>
  </si>
  <si>
    <t>Environ. Sci. Technol.</t>
  </si>
  <si>
    <t>055QT</t>
  </si>
  <si>
    <t>Water sector infrastructures are interdependent, affecting the performance, and operations of each infrastructure. Demands placed on, and revenues generated for these systems are impacted by human interactions, including price elasticity and consumption. Population decline in shrinking cities has resulted in reduced numbers of customers, leading to underfunded and underutilized systems. This paper develops a hybrid agent based and system dynamics model for quantifying coupled human and water sector infrastructure interdependencies in shrinking cities to explore: water demand, wastewater produced, water utility revenues, and wastewater utility revenues. Data is used from two shrinking cities, published literature, publicly available data, and a survey deployed to residents of 21 shrinking cities to assess water sector interdependencies for small and medium size classifications of cities and cities operating on combined or separate sewer systems, using two Midwestern shrinking cities. This study's significance includes quantifying the endogenous, physical water sector interdependencies, and the exogenous, complex human-infrastructure interactions. The epistemic uncertainty associated with human-infrastructure interactions is explored by incorporating stochastic parameters, enabling the estimation of the range of possible outcomes. Furthermore, the model enables the assessment of interdependencies with parameters tailored to a city's unique characteristics, such as population decline rate, service prices, and precipitation patterns.</t>
  </si>
  <si>
    <t>[Faust, Kasey M.] Univ Texas Austin, Dept Civil Architectural &amp; Environm Engn, 301 E Dean Keeton C1752, Austin, TX 78712 USA; [Abraham, Dulcy M.] Purdue Univ, Lyles Sch Civil Engn, 550 Stadium Mall Dr, W Lafayette, IN 47907 USA</t>
  </si>
  <si>
    <t>Faust, KM (corresponding author), Univ Texas Austin, Dept Civil Architectural &amp; Environm Engn, 301 E Dean Keeton C1752, Austin, TX 78712 USA.</t>
  </si>
  <si>
    <t>faustk@utexas.edu; dulcy@ecn.purdue.edu</t>
  </si>
  <si>
    <t>Construction &amp; Building Technology; Education, Scientific Disciplines; Engineering, Industrial; Engineering, Civil</t>
  </si>
  <si>
    <t>Construction &amp; Building Technology; Education &amp; Educational Research; Engineering</t>
  </si>
  <si>
    <t>BG4ZU</t>
  </si>
  <si>
    <t>Displaced persons; Water infrastructure; Wastewater infrastructure; Agent-based modeling</t>
  </si>
  <si>
    <t>STAKEHOLDER IMPACT ANALYSIS; PROJECT-MANAGEMENT; POPULATION-GROWTH; DISASTER; SYSTEMS; INTERDEPENDENCY; SUSTAINABILITY; PARTICIPATION; ATTRIBUTES; RESOURCES</t>
  </si>
  <si>
    <t>In 2016, Germany received approximately 50% of the 1.2 million asylum applications in the European Union. The applicants represented a population influx of displaced people that were accommodated primarily in urban settings, creating challenges for engineers and managers who needed to meet the new water and wastewater demands of the displaced persons without disrupting services to preexisting residents. To achieve this, local authorities and engineers had to consider temporary or permanent alterations to existing water and wastewater infrastructure-changes that could provoke opposition from a hosting community, depending on their perception of the changes. In this study, a modeling framework is proposed that allows decision makers to account for hosting communities' perceptions of alternatives for providing water and wastewater infrastructure services to displaced persons. The framework uses an agent-based model that is enabled by publicly available information, a survey deployed to German communities, and interviews with stakeholders involved in the accommodation of displaced persons in Germany. Our results indicate that alternatives used by local authorities did not always align with community-supported alternatives. To minimize such misalignments, we recommend that local authorities, early on in developing infrastructure alternatives, take into account the perceptions of hosting communities. Ultimately, the proposed framework promotes the sustainable provision of water and wastewater infrastructure to displaced persons.</t>
  </si>
  <si>
    <t>[Araya, Felipe] Univ Tecn Federico Santa Maria, Dept Obras Civiles, Ave Espana 1680, Valparaiso, Chile; [Araya, Felipe] Univ Texas Austin, Dept Civil &amp; Environm Engn, 301 Dean Keeton C1752, Austin, TX 78751 USA; [Faust, Kasey M.] Univ Texas Austin, Cockrell Sch Engn, Dept Civil Architectural &amp; Environm Engn, ECJ 5-438, Austin, TX 78712 USA; [Kaminsky, Jessica A.] Univ Washington, Dept Civil &amp; Environm Engn, 121H More Hall, Seattle, WA 98195 USA</t>
  </si>
  <si>
    <t>Araya, F (corresponding author), Univ Tecn Federico Santa Maria, Dept Obras Civiles, Ave Espana 1680, Valparaiso, Chile.;Araya, F (corresponding author), Univ Texas Austin, Dept Civil &amp; Environm Engn, 301 Dean Keeton C1752, Austin, TX 78751 USA.</t>
  </si>
  <si>
    <t>felipe.araya@usm.cl; faustk@utexas.edu; jkaminsk@uw.edu</t>
  </si>
  <si>
    <t>Faust, Kasey/AAT-2629-2021; Araya, Felipe/AFM-9879-2022</t>
  </si>
  <si>
    <t>Faust, Kasey/0000-0001-7986-4757; Araya, Felipe/0000-0001-9814-5184; Kaminsky, Jessica/0000-0002-1340-7913</t>
  </si>
  <si>
    <t>National Science Foundation [1624409, 1624417]; Conicyt/National Agency of Research and Development (ANID) under the program Becas Chile [72170369]; Departamento de Obras Civiles at Universidad Tecnica Federico Santa Maria through the Faculty Development Scholarship provided by the Chilean Fulbright Commission</t>
  </si>
  <si>
    <t>National Science Foundation(National Science Foundation (NSF)); Conicyt/National Agency of Research and Development (ANID) under the program Becas Chile; Departamento de Obras Civiles at Universidad Tecnica Federico Santa Maria through the Faculty Development Scholarship provided by the Chilean Fulbright Commission</t>
  </si>
  <si>
    <t>This study was based on work supported by the National Science Foundation under Grant Nos. 1624409 and 1624417. Any opinions, findings, conclusions, or recommendations expressed in this paper are those of the author(s) and do not necessarily reflect the views of the National Science Foundation. This study was also supported by Conicyt/National Agency of Research and Development (ANID) under the program Becas Chile (Grant No. 72170369). Author F. A. would like to acknowledge the support from Departamento de Obras Civiles at Universidad Tecnica Federico Santa Maria through the Faculty Development Scholarship provided by the Chilean Fulbright Commission.</t>
  </si>
  <si>
    <t>J MANAGE ENG</t>
  </si>
  <si>
    <t>J. Manage. Eng.</t>
  </si>
  <si>
    <t>Engineering, Industrial; Engineering, Civil</t>
  </si>
  <si>
    <t>TH6NL</t>
  </si>
  <si>
    <t>RESOURCES; MANAGEMENT; DYNAMICS; DEMAND; PRICE; SIMULATION; STRATEGIES; MODEL</t>
  </si>
  <si>
    <t>Water, wastewater, and stormwater infrastructure systems are intrinsically interdependent, impacting the performance and operations of each individual infrastructure. The demands placed on and revenues generated for these infrastructures are impacted by human interactions, such as price elasticity and population dynamics. The consequences of these human-infrastructure interactions may be seen in shrinking cities, where chronic population decline has led to underfunded and underutilized infrastructures. This paper evaluates human-water and wastewater systems sector interdependencies in shrinking cities to explore water demand, utility revenues, public support, and payoff periods for retooling alternatives. To assess the dynamic behavior of the water sector systems, a hybrid framework is used that incorporates agent-based and system dynamics modeling. Driving the approach is data gathered from published and publicly available literature, two case studies, and a survey deployed to residents of 21 U.S. shrinking cities. This study quantifies the endogenous, physical interdependencies and the exogenous, complex human interactions. The epistemic uncertainty associated with human-infrastructure interactions is explored by incorporating stochastic parameters rather than the traditional deterministic parameters. Furthermore, the framework enables the assessment of interdependencies with parameters tailored to a city's unique characteristics. (C) 2017 American Society of Civil Engineers.</t>
  </si>
  <si>
    <t>[Faust, Kasey M.] Univ Texas Austin, Dept Civil Architectural &amp; Environm Engn, Austin, TX 78712 USA; [Abraham, Dulcy M.] Purdue Univ, Lyles Sch Civil Engn, W Lafayette, IN 47907 USA; [DeLaurentis, Daniel] Purdue Univ, Sch Aeronaut &amp; Astronaut, W Lafayette, IN 47907 USA</t>
  </si>
  <si>
    <t>Faust, KM (corresponding author), Univ Texas Austin, Dept Civil Architectural &amp; Environm Engn, Austin, TX 78712 USA.</t>
  </si>
  <si>
    <t>faustk@utexas.edu</t>
  </si>
  <si>
    <t>FE9ZL</t>
  </si>
  <si>
    <t>Complex adaptive systems; Water resources sustainability; Adaptive management; Urbanization; Sociotechnical system; Multiscale modeling</t>
  </si>
  <si>
    <t>LAND-USE CHANGE; END-USE MODEL; MULTIAGENT MODEL; COVER CHANGE; MANAGEMENT; DEMAND; SCENARIOS; FRAMEWORK; IMPACTS; FUTURE</t>
  </si>
  <si>
    <t>Urban water resources should be managed to meet conflicting demands for environmental health, economic prosperity, and social equity for present and future generations. While the sustainability of water resources can depend on dynamic interactions among natural, social, and infrastructure systems, typical water resource planning and management approaches are based on methodologies that ignore feedbacks and adaptations among these systems. This research develops and demonstrates a new complex adaptive systems approach to model the dynamic interactions among population growth, land-use change, the hydrologic cycle, residential water use, and interbasin transfers. Agent-based and cellular automaton models, representing consumers and policymakers who make land-and water-use decisions, are coupled with hydrologic models. The framework is applied for an illustrative case study to simulate urbanization and the water supply system over a long-term planning horizon. Results indicate that interactions among the decentralized decisions of individual residents can significantly influence system-wide sustainability. Adaptive management policies are included to restrict the water use and land use of consumers as the availability of water decreases. These strategies are simulated and assessed based on their abilities to increase the sustainability of the water supply system under the stresses of population growth, land-use change, and drought. (C) 2013 American Society of Civil Engineers.</t>
  </si>
  <si>
    <t>[Giacomoni, M. H.] Texas A&amp;M Univ, Zachry Dept Civil Engn, Wisenbaker Engn Res Ctr 212E, College Stn, TX 77843 USA; [Kanta, L.] Texas A&amp;M Univ, Zachry Dept Civil Engn, Wisenbaker Engn Res Ctr 205T, College Stn, TX 77843 USA; [Zechman, E. M.] N Carolina State Univ, Dept Civil Construct &amp; Environm Engn, Raleigh, NC 27695 USA</t>
  </si>
  <si>
    <t>Giacomoni, MH (corresponding author), Texas A&amp;M Univ, Zachry Dept Civil Engn, Wisenbaker Engn Res Ctr 212E, College Stn, TX 77843 USA.</t>
  </si>
  <si>
    <t>ghmarcio@tamu.edu; lkanta@civil.tamu.edu; emzechma@ncsu.edu</t>
  </si>
  <si>
    <t>National Science Foundation [ECC-0926893]</t>
  </si>
  <si>
    <t>This material is based on work supported by the National Science Foundation under Grant ECC-0926893. Any opinions, findings, and conclusions or recommendations expressed in this material are those of the authors and do not necessarily reflect the views of the National Science Foundation. The authors express their thanks and appreciation to the City of Arlington and Tarrant Regional Water District for their help and sharing of valuable reports, data, and insights.</t>
  </si>
  <si>
    <t>J WATER RES PL</t>
  </si>
  <si>
    <t>301FP</t>
  </si>
  <si>
    <t>Zhang, QF; Wang, X; Hu, TS; Wang, K; Gong, LQ</t>
  </si>
  <si>
    <t>Zhang, Qifan; Wang, Xin; Hu, Tiesong; Wang, Kang; Gong, Lanqiang</t>
  </si>
  <si>
    <t>Assessing the effectiveness and fairness of carbon tax based on the water-energy-carbon nexus of household water use</t>
  </si>
  <si>
    <t>Carbon tax; Agent-based modeling; Water-energy-carbon nexus; End-use behavior; Lhasa City</t>
  </si>
  <si>
    <t>END-USE; RESIDENTIAL WATER; CONSERVATION; MANAGEMENT; CLIMATE; POVERTY; SYSTEMS; INEQUALITY; IMPACTS; POLICY</t>
  </si>
  <si>
    <t>Implementing management strategies such as carbon tax to mitigate climate change should be grounded in a rigorous understanding of the effects on heterogeneous households. However, traditionally used equilibriumbased or optimization-based models lump heterogeneous stakeholders with one representative one and narrow tax effects to the emission reduction and cost distribution, leading to unpractical policies. This work proposes a new agent-based framework with explicit representations of macro water-energy-carbon nexus and micro individual behaviors to assess the effectiveness and fairness of carbon tax. The framework encompasses households' behaviors under income heterogeneity and information asymmetry. A case study in Lhasa reveals that, carbon tax is effective for emission reduction while engenders multidimensional inequality across income groups. Levying carbon tax reduces the carbon intensity for water and energy by 1.5% and 6.0%, respectively, in 2049. However, carbon tax adds barriers to the adoption of cleaner energy and advanced appliances while promoting conservation behaviors of low-income groups. Our results also reveal the regressive distribution effects of carbon tax, supporting the distribution inequality of the tax. Our analysis provides new insights on the disentanglement of the effectiveness and fairness of carbon tax which could be extended to the development of compensation strategies to enhance the effectiveness and mitigate inequalities.</t>
  </si>
  <si>
    <t>[Zhang, Qifan; Hu, Tiesong; Wang, Kang] Wuhan Univ, State Key Lab Water Resources &amp; Hydropower Engn Sc, Wuhan 430072, Peoples R China; [Wang, Xin] Hubei Water Resources Res Inst, Wuhan 430064, Peoples R China; [Gong, Lanqiang] Power China Guiyang Engn Corp Ltd, Guiyang 550081, Peoples R China</t>
  </si>
  <si>
    <t>Hu, TS (corresponding author), Wuhan Univ, State Key Lab Water Resources &amp; Hydropower Engn Sc, Wuhan 430072, Peoples R China.</t>
  </si>
  <si>
    <t>tshu@whu.edu.cn</t>
  </si>
  <si>
    <t>Hu, Tiesong/0000-0001-5533-7389</t>
  </si>
  <si>
    <t>National Natural Science Foundation of China [91647204, 52179022]; Key Scientific Research Project of Water Resources in Hubei Province [HBSLKY201707]; Key Research Project of Lancang River Clean Energy Base [WY20FW32021011]</t>
  </si>
  <si>
    <t>National Natural Science Foundation of China(National Natural Science Foundation of China (NSFC)); Key Scientific Research Project of Water Resources in Hubei Province; Key Research Project of Lancang River Clean Energy Base</t>
  </si>
  <si>
    <t>This study has been supported by the National Natural Science Foundation of China (91647204, 52179022) , the Key Scientific Research Project of Water Resources in Hubei Province (HBSLKY201707) , and the Key Research Project of Lancang River Clean Energy Base (WY20FW32021011) . The funding sources have no involvement in the study design, data collection and analysis, or any other aspects of the research or paper publication. The authors would also like to thank the editors and anonymous reviewers for their review and helpful comments.</t>
  </si>
  <si>
    <t>JUL 20</t>
  </si>
  <si>
    <t>10.1016/j.jclepro.2022.132063</t>
  </si>
  <si>
    <t>1L2YZ</t>
  </si>
  <si>
    <t>WOS:000799160000006</t>
  </si>
  <si>
    <t>Zellner, ML</t>
  </si>
  <si>
    <t>Zellner, Moira L.</t>
  </si>
  <si>
    <t>Generating policies for sustainable water use in complex scenarios: an integrated land-use and water-use model of Monroe County, Michigan</t>
  </si>
  <si>
    <t>ENVIRONMENT AND PLANNING B-PLANNING &amp; DESIGN</t>
  </si>
  <si>
    <t>MANAGEMENT</t>
  </si>
  <si>
    <t>Rapidly declining groundwater levels since the early 1990s have raised serious concern in Monroe County, Michigan. Hydrological studies suggest that land-use changes have caused this decline. The mechanisms linking land-use and groundwater dynamics are not clear, however. In this paper I present WULUM, the Water-Use and Land-Use Model, an agent-based model that serves as an analytical framework to understand how these processes interact to create the observed patterns of resource depletion, and to suggest policies to reverse the process. The land-use component includes the main groundwater extractors in the county-stone quarries, golf courses, farms, and households. The groundwater component includes the glacial deposits and the underlying bedrock acquifer. The behavior of water users is defined by simple rules that determine their location and consumption. The dynamics of groundwater are represented through infiltration and diffusion rules between each cell and its immediate neighbors. Initial explorations with the model showed that land-use patterns contributed significantly to groundwater declines, while eliminating quarry dewatering did not entirely solve the problem. Both low-density and high-density zoning restrictions improved aquifer conditions over medium-density development, suggesting a nonlinear relationship between intensity of residential use and groundwater levels. Moreover, of all the natural and policy variables, zoning had the greatest influence on urban settlement and therefore on resource consumption.</t>
  </si>
  <si>
    <t>Univ Michigan, Urban &amp; Reg Planning Program, Ctr Study Complex Syst, Ann Arbor, MI 48109 USA</t>
  </si>
  <si>
    <t>Zellner, ML (corresponding author), Univ Michigan, Urban &amp; Reg Planning Program, Ctr Study Complex Syst, 4485 Randall Lab, Ann Arbor, MI 48109 USA.</t>
  </si>
  <si>
    <t>mzellner@uic.edu</t>
  </si>
  <si>
    <t>PION LTD</t>
  </si>
  <si>
    <t>207 BRONDESBURY PARK, LONDON NW2 5JN, ENGLAND</t>
  </si>
  <si>
    <t>0265-8135</t>
  </si>
  <si>
    <t>ENVIRON PLANN B</t>
  </si>
  <si>
    <t>Environ. Plan. B-Plan. Des.</t>
  </si>
  <si>
    <t>Environmental Studies</t>
  </si>
  <si>
    <t>198MZ</t>
  </si>
  <si>
    <t>WOS:000248633500008</t>
  </si>
  <si>
    <t>Moglia, M; Podkalicka, A; McGregor, J</t>
  </si>
  <si>
    <t>Moglia, Magnus; Podkalicka, Aneta; McGregor, James</t>
  </si>
  <si>
    <t>An Agent-Based Model of Residential Energy Efficiency Adoption</t>
  </si>
  <si>
    <t>Energy Efficiency; Policy Assessment; Innovation Diffusion; Solar Hot Water; Consumat; Ex-Ante</t>
  </si>
  <si>
    <t>HOT-WATER; DIFFUSION; CONSUMPTION; SIMULATION; EMISSIONS; ATTITUDES; VEHICLES; PROTOCOL; SYSTEMS; LIGHT</t>
  </si>
  <si>
    <t>This paper reports on an Agent-Based Model. The purpose of developing this model is to describe 'the uptake of low carbon and energy efficient technologies and practices by households and under different interventions'. There is a particular focus on modelling non-financial incentives as well as the influence of social networks as well as the decision making by multiple types of agents in interaction, i.e. recommending agents and sales agents, not just households. The decision making model for householder agents is inspired by the Consumat approach, as well as some of those recently applied to electric vehicles. A feature that differentiates this model is that it also represents information agents that provide recommendations and sales agents that proactively sell energy efficient products. By applying the model to a number of scenarios with policies aimed at increasing the adoption of solar hot water systems, a range of questions are explored, including whether it is more effective to incentivise sales agents to promote solar hot water systems, or whether it is more effective to provide a subsidy directly to households; or in fact whether it is better to work with plumbers so that they can promote these systems. The resultant model should be viewed as a conceptual structure with a theoretical and empirical grounding, but which requires further data collection for rigorous analysis of policy options.</t>
  </si>
  <si>
    <t>[Moglia, Magnus] CSIRO Land &amp; Water, Ian Wark Bldg B203, Clayton, Vic 3169, Australia; [Podkalicka, Aneta] Monash Univ, Sch Media Film &amp; Journalism, Caulfield Campus,900 Dandenong Rd, Caulfield, Vic 3145, Australia; [McGregor, James] Blue Tribe Co, Newcastle, NSW 2300, Australia</t>
  </si>
  <si>
    <t>Moglia, M (corresponding author), CSIRO Land &amp; Water, Ian Wark Bldg B203, Clayton, Vic 3169, Australia.</t>
  </si>
  <si>
    <t>magnus.moglia@csiro.au</t>
  </si>
  <si>
    <t>Moglia, Magnus Mikael/C-8575-2011</t>
  </si>
  <si>
    <t>Moglia, Magnus Mikael/0000-0002-8290-610X</t>
  </si>
  <si>
    <t>JUN 30</t>
  </si>
  <si>
    <t>GO3AC</t>
  </si>
  <si>
    <t>gold, Green Submitted</t>
  </si>
  <si>
    <t>WOS:000439852500003</t>
  </si>
  <si>
    <t>Multi agent reinforcement learning; Distributed learning; Optimal control; Thermostatically controlled loads; Domestic hot water storage vessel; Heat pumps</t>
  </si>
  <si>
    <t>ENERGY; CONSUMPTION; BUILDINGS</t>
  </si>
  <si>
    <t>Increasing energy efficiency of thermostatically controlled loads has the potential to substantially reduce domestic energy demand. However, optimizing the efficiency of thermostatically controlled loads requires either an existing model or detailed data from sensors to learn it online. Often, neither is practical because of real-world constraints. In this paper, we demonstrate that this problem can benefit greatly from multi-agent learning and collaboration. Starting with no thermostatically controlled load specific information, the multi-agent modelling and control framework is evaluated over an entire year of operation in a large scale pilot in The Netherlands, constituting over 50 houses, resulting in energy savings of almost 200 kW h per household (or 20% of the energy required for hot water production). Theoretically, these savings can be even higher, a result also validated using simulations. In these experiments, model accuracy in the multi-agent frameworks scales linearly with the number of agents and provides compelling evidence for increased agency as an alternative to additional sensing, domain knowledge or data gathering time. In fact, multi-agent systems can accelerate learning of a thermostatically controlled load's behaviour by multiple orders of magnitude over single-agent systems, enabling active control faster. These findings hold even when learning is carried out in a distributed manner to address privacy issues arising from multi-agent cooperation.</t>
  </si>
  <si>
    <t>[Kazmi, Hussain; Balint, Attila] Enervalis, Houthalen Helchteren, Belgium; [Kazmi, Hussain; Suykens, Johan; Driesen, Johan] Katholieke Univ Leuven, Dept Elect Engn, Leuven, Belgium</t>
  </si>
  <si>
    <t>Kazmi, H (corresponding author), Enervalis, Houthalen Helchteren, Belgium.;Kazmi, H (corresponding author), Katholieke Univ Leuven, Dept Elect Engn, Leuven, Belgium.</t>
  </si>
  <si>
    <t>hussainsyed.kazmi@kuleuven.be</t>
  </si>
  <si>
    <t>Kazmi, Hussain/ABD-7313-2021; Driesen, Johan/C-2506-2014; Suykens, Johan/C-9781-2014</t>
  </si>
  <si>
    <t>Kazmi, Hussain/0000-0002-7765-8068; Driesen, Johan/0000-0002-1025-0949; Suykens, Johan/0000-0002-8846-6352</t>
  </si>
  <si>
    <t>VLAIO; InnoEnergy; IEA Annex [67]; CoE [PFV/10/002]; FWO [G0A4917N, G088114N]; IUAP [P7/19]; ERC [787960]; KU Leuven [C1]</t>
  </si>
  <si>
    <t>VLAIO; InnoEnergy; IEA Annex; CoE(Ministry of Education, Culture, Sports, Science and Technology, Japan (MEXT)); FWO(FWO); IUAP; ERC(European Research Council (ERC)European Commission); KU Leuven(KU Leuven)</t>
  </si>
  <si>
    <t>Hussain Kazmi acknowledges support and valuable feedback from VLAIO, InnoEnergy and the IEA Annex 67. Johan Suykens acknowledges support of CoE PFV/10/002 (OPTEC), FWO G0A4917N, G088114N, IUAP P7/19 (DYSCO), ERC Advanced Grant E-DUALITY (787960), KU Leuven C1.</t>
  </si>
  <si>
    <t>APPL ENERG</t>
  </si>
  <si>
    <t>Appl. Energy</t>
  </si>
  <si>
    <t>Energy &amp; Fuels; Engineering, Chemical</t>
  </si>
  <si>
    <t>Energy &amp; Fuels; Engineering</t>
  </si>
  <si>
    <t>HO9DV</t>
  </si>
  <si>
    <t>climate change; water supply; domestic water use; integrated water resources management; coupled simulation; social simulation; actors; framework technology; regional scale model</t>
  </si>
  <si>
    <t>CLIMATE-CHANGE IMPACTS; PREDICTING LAND-USE; CATCHMENT MODELS; DECISION-MAKING; MANAGEMENT; RESOURCES; UNCERTAINTY; COMPLEXITY; VALIDATION; CAPACITY</t>
  </si>
  <si>
    <t>Within coupled hydrological simulation systems, taking socio-economic processes into account is still a challenging task. In particular, systems that aim at evaluating impacts of climatic change on large spatial and temporal scales cannot be based on the assumption that infrastructure, economy, demography and other human factors remain constant while physical boundary conditions change. Therefore, any meaningful simulation of possible future scenarios needs to enable socio-economic systems to react and to adapt to climatic changes. To achieve this it is necessary to simulate decision-making processes of the relevant actors in a way which is adequate for the scale, the catchment specific management problems to be investigated and finally the data availability. This contribution presents the DEEPACTOR approach for representing such human decision processes, which makes use of a multi-actor simulation framework and has similarities to agent-based approaches. This DEEPACTOR approach is embedded in DANUBIA, a coupled simulation system comprising 16 individual models to simulate Global Change impacts on the entire water cycle of the Upper Danube Catchment (Germany, 77,000 km(2)). The applicability of DANUBIA and in particular the DEEPACTOR approach for treating the socio-economic part of the water cycle in a process-based way is demonstrated by means of concrete simulation models of the water supply sector and of the domestic water users. Results from scenario simulations are used to demonstrate the capabilities and limitations of the approach. (c) 2008 Elsevier Ltd. All rights reserved.</t>
  </si>
  <si>
    <t>[Barthel, R.; Trifkovic, A.; Nickel, D.] Univ Stuttgart, Inst Hydraul Engn, D-70569 Stuttgart, Germany; [Janisch, S.] Univ Munich, Inst Comp Sci, D-80538 Munich, Germany; [Schwarz, N.] UFZ Helmholtz Ctr Environm Res, Helmholtz Ctr Environm Res, Dept Computat Landscape Ecol, D-04318 Leipzig, Germany; [Schulz, C.] Univ Kassel, Ctr Environm Syst Res, D-34131 Kassel, Germany; [Mauser, W.] Univ Munich, Fac Geosci, D-80333 Munich, Germany</t>
  </si>
  <si>
    <t>Barthel, R (corresponding author), Univ Stuttgart, Inst Hydraul Engn, Pfaffenwaldring 7A, D-70569 Stuttgart, Germany.</t>
  </si>
  <si>
    <t>roland.barthel@iws.uni-stuttgart.de</t>
  </si>
  <si>
    <t>Barthel, Roland/F-8723-2011; Schwarz, Nina/A-5409-2011</t>
  </si>
  <si>
    <t>Barthel, Roland/0000-0003-2004-6199; Schwarz, Nina/0000-0003-4624-488X</t>
  </si>
  <si>
    <t>318MB</t>
  </si>
  <si>
    <t>Cooperation; Rainfall; Drought; Agent-based model; Labor-sharing; Risk</t>
  </si>
  <si>
    <t>SOCIAL-ECOLOGICAL SYSTEMS; CLIMATE-CHANGE; PRECIPITATION; PASTORALISTS; VARIABILITY; COOPERATION; ROBUSTNESS; FRAMEWORK; IMPACTS</t>
  </si>
  <si>
    <t>The rapid environmental changes currently underway in many dry regions of the world, and the deep uncertainty about their consequences, underscore a critical challenge for sustainability: how to maintain cooperation that ensures the provision of natural resources when the benefits of cooperating are variable, sometimes uncertain, and often limited. In this work, we present the case of a group of rural communities in a semi-desert region of Chile, where cooperation in the form of labor-sharing has helped maintain higher agriculture yields, group cohesion, and identity. Today, these communities face the challenge of adapting to recurrent droughts, extreme rainfall, and desertification. We formulated an agent-based model to investigate the consequences of regional climate changes on the fate of these labor-exchange institutions. The model, implemented in the framework of prospect theory, simulates the economic decisions of households to engage, or not, in labor-sharing agreements under different scenarios of water supply, water variability, and socio-environmental risk. Results show that the number of fulfilled labor-sharing agreements is reduced by water scarcity and environmental variability. More importantly, defections that involve non-fulfillment of these agreements are more likely to emerge at the intermediate level of environmental variability and water supply stress. These results underscore the need for environmental policy instruments that consider the effects of regional climate changes on the social dynamics of these communities.</t>
  </si>
  <si>
    <t>[Baeza, Andres] Univ Maryland, Natl Socioenvironm Synth Ctr, College Pk, MD 20742 USA; [Baeza, Andres; Janssen, Marco A.] Arizona State Univ, Sch Sustainabil, Wrigley Hall,800 Cady Mall, Tempe, AZ 85281 USA</t>
  </si>
  <si>
    <t>Baeza, A (corresponding author), Univ Maryland, Natl Socioenvironm Synth Ctr, College Pk, MD 20742 USA.;Baeza, A (corresponding author), Arizona State Univ, Sch Sustainabil, Wrigley Hall,800 Cady Mall, Tempe, AZ 85281 USA.</t>
  </si>
  <si>
    <t>andres.baeza@gmail.com; Marco.Janssen@asu.edu</t>
  </si>
  <si>
    <t>National Socio-Environmental Synthesis Center (SESYNC) [DBI-1052875]; German Center for Integrative Biodiversity Research (iDiv); Project MEGADAPT [NSF] [1414052]; Directorate For Geosciences [1414052] Funding Source: National Science Foundation</t>
  </si>
  <si>
    <t>National Socio-Environmental Synthesis Center (SESYNC)(National Science Foundation (NSF)NSF - Directorate for Biological Sciences (BIO)); German Center for Integrative Biodiversity Research (iDiv); Project MEGADAPT [NSF]; Directorate For Geosciences(National Science Foundation (NSF)NSF - Directorate for Geosciences (GEO))</t>
  </si>
  <si>
    <t>This research was supported by the National Socio-Environmental Synthesis Center (SESYNC) [Grant No. DBI-1052875] through the Postdoctoral fellowship program to AB and the Modeling Human Decision-making working group with the German Center for Integrative Biodiversity Research (iDiv) to MJ. We also acknowledge the support from the Project MEGADAPT [NSF Grant No. 1414052].</t>
  </si>
  <si>
    <t>REG ENVIRON CHANGE</t>
  </si>
  <si>
    <t>Reg. Envir. Chang.</t>
  </si>
  <si>
    <t>Environmental Sciences; Environmental Studies</t>
  </si>
  <si>
    <t>GB8XN</t>
  </si>
  <si>
    <t>Capacity building; Co-learning; Companion modeling; Rainfed lowland rice</t>
  </si>
  <si>
    <t>LOWLAND RICE</t>
  </si>
  <si>
    <t>Rainfed lowland rice production in lower Northeast Thailand is a complex and adaptive farming activity. Complexity arises from interconnections between multiple and intertwined processes, affected by harsh climatic and soil conditions, cropping practices and labor migrations. Having faced a spatially heterogeneous and dynamic environment for centuries, local rice farmers are very adaptive and are used to adjusting their behavior in unpredictable climatic and economic conditions. Better understanding is needed to manage the key interactions between labor, land and water use for rice production, especially when major investments in new water infrastructure are now being considered. Based on the principles of the iterative and evolving Companion Modeling (ComMod) approach, indigenous and academic knowledge was integrated in an Agent-Based Model (ABM) co-designed with farmers engaged in different types of farming practices over a period of three years to create a shared representation of the complex and adaptive social agroecological system in Ban Mak Mai village, in the south of Ubon Ratchathani province. The ABM consists of three interacting modules: Water (hydro-climatic processes), Rice, and Household. Household is a rule-based agent; it makes daily decisions based on its available means of production, taking into account the stage of the rice crop, and water and labor availability. Key decisions made are related to: i) rice nursery establishment, ii) rice transplanting, iii) rice harvesting, and iv) migration of household members. The spatially explicit model interface represents a virtual rainfed lowland rice environment as an archetypical toposequence made of upper to lower paddies in a minicatchment farmed by 4 different households, and also includes water bodies and human settlements. Thanks to intensive communication, the participating farmers, made sure that the ABM adequately represents their rice farming and labor migration management practices. They found the model useful to deepen their understanding of the interrelations between labor migrations and rice production, which helped to strengthen their adaptive management ability. (C) 2010 Elsevier Ltd. All rights reserved.</t>
  </si>
  <si>
    <t>[Naivinit, W.] Ubon Rajathanee Univ, Warinchamrap 94190, Ubon Ratchathan, Thailand; [Le Page, C.] Chulalongkorn Univ, CU Cirad ComMod Project, Bangkok, Thailand; [Gajaseni, N.] Chulalongkorn Univ, Dept Biol, Fac Sci, Bangkok, Thailand; [Le Page, C.; Trebuil, G.] Cirad, UPR Green, F-34000 Montpellier, France; [Naivinit, W.] Univ Paris Ouest Nanterre La Def, Paris, France</t>
  </si>
  <si>
    <t>Naivinit, W (corresponding author), Ubon Rajathanee Univ, Warinchamrap 94190, Ubon Ratchathan, Thailand.</t>
  </si>
  <si>
    <t>wnaivinit@yahoo.com; christophe.le_page@cirad.fr; guy.trebuil@cirad.fr; gnantana@chula.ac.th</t>
  </si>
  <si>
    <t>CGIAR; Echel-Eau Project, MAE, France; bilateral Franco-Thai cooperation program in higher education and research</t>
  </si>
  <si>
    <t>CGIAR(CGIAR); Echel-Eau Project, MAE, France; bilateral Franco-Thai cooperation program in higher education and research</t>
  </si>
  <si>
    <t>The research presented here is part of the PN 25: Companion modeling for resilient water management, a project funded by the CGIAR Challenge Program on Water and Food, and the Echel-Eau Project, MAE, France. The authors also thank the bilateral Franco-Thai cooperation program in higher education and research for its support.</t>
  </si>
  <si>
    <t>622MA</t>
  </si>
  <si>
    <t>Robots; Cognition; Senior citizens; Task analysis; Planning; Physiology; Knowledge based systems; Care preference; knowledge-based system; life-assist robot</t>
  </si>
  <si>
    <t>Care robots have been developed to address the shortage of caregivers in hospitals and homes. However, providing care services considering abstract physiological desires (e.g., hunger, thirst, hot, and cold) rather than specific commands (e.g., serve a cup of water) has not been fully investigated. The key to such services that satisfy abstract requests, e.g., thirst, is to evaluate the available options (e.g., milk, tea, biscuit, and Coke) with the consideration of the care recipient's preferences. In this study, we argue that both general taste (long-term care preferences) and sequential influence [short-term care preferences (STCPs)] should be considered for a robot to provide satisfying services. In this article, a long STCP model (LSTCPM) is introduced. The model can be initialized and updated incorporating the feedback from the care recipients. Then, a virtual agent-based simulation system is presented, which provides a way to evaluate and fine-tune the LSTCPM prior to its deployment to actual care robots. Finally, experiments were conducted in a real household domain using our care robot KUT-PCR to demonstrate the feasibility of the proposed approach.</t>
  </si>
  <si>
    <t>[Yang, Guang; Wang, Shuoyu] Kochi Univ Technol, Sch Syst Engn, Kochi 7828502, Japan; [Yang, Junyou] Shenyang Univ Technol, Shenyang 110870, Peoples R China; [Shi, Peng] Univ Adelaide, Sch Elect &amp; Elect Engn, Adelaide, SA 5005, Australia</t>
  </si>
  <si>
    <t>Yang, G (corresponding author), Kochi Univ Technol, Sch Syst Engn, Kochi 7828502, Japan.</t>
  </si>
  <si>
    <t>yang.guang@kochi-tech.ac.jp; wang.shuoyu@kochi-tech.ac.jp; junyouyang@sut.edu.cn; peng.shi@adelaide.edu.au</t>
  </si>
  <si>
    <t>Japan Society for the Promotion of Science KAKENHI [16K12503]; Canon Foundation; CASIO Science Promotion Foundation</t>
  </si>
  <si>
    <t>Japan Society for the Promotion of Science KAKENHI(Ministry of Education, Culture, Sports, Science and Technology, Japan (MEXT)Japan Society for the Promotion of ScienceGrants-in-Aid for Scientific Research (KAKENHI)); Canon Foundation(Canon Foundation); CASIO Science Promotion Foundation</t>
  </si>
  <si>
    <t>This work was supported in part by the Japan Society for the Promotion of Science KAKENHI under Grant 16K12503; in part by Canon Foundation; and in part by the CASIO Science Promotion Foundation.</t>
  </si>
  <si>
    <t>IEEE-INST ELECTRICAL ELECTRONICS ENGINEERS INC</t>
  </si>
  <si>
    <t>PISCATAWAY</t>
  </si>
  <si>
    <t>445 HOES LANE, PISCATAWAY, NJ 08855-4141 USA</t>
  </si>
  <si>
    <t>IEEE T SYST MAN CY-S</t>
  </si>
  <si>
    <t>IEEE Trans. Syst. Man Cybern. -Syst.</t>
  </si>
  <si>
    <t>DEC 2021</t>
  </si>
  <si>
    <t>Automation &amp; Control Systems; Computer Science, Cybernetics</t>
  </si>
  <si>
    <t>Automation &amp; Control Systems; Computer Science</t>
  </si>
  <si>
    <t>XT3KP</t>
  </si>
  <si>
    <t>ABM; ECM; Livelihood strategy; Livelihood transition; Non-point source pollution</t>
  </si>
  <si>
    <t>EXPORT COEFFICIENT MODEL; LAND-USE CHANGE; WATER-QUALITY; MULTIAGENT SYSTEMS; RICE PRODUCTION; SURFACE WATERS; LOESS PLATEAU; YANGTZE-RIVER; UPPER REACHES; COVER CHANGE</t>
  </si>
  <si>
    <t>Water pollution caused by anthropogenic activities and driven by changes in rural livelihood strategies in an agricultural system has received increasing attention in recent decades. To simulate the effects of rural household livelihood transition on non-point source (NPS) pollution, a model combining an agent-based model (ABM) and an improved export coefficient model (IECM) was developed. The ABM was adopted to simulate the dynamic process of household livelihood transition, and the IECM was employed to estimate the effects of household livelihood transition on NPS pollution. The coupled model was tested in a small catchment in the Dongting Lake region, China. The simulated results reveal that the transition of household livelihood strategies occurred with the changes in the prices of rice, pig, and labor. Thus, the cropping system, land-use intensity, resident population, and number of pigs changed in the small catchment from 2000 to 2014. As a result of these changes, the total nitrogen load discharged into the river initially increased from 6841.0 kg in 2000 to 8446.3 kg in 2004 and then decreased to 6063.9 kg in 2014. Results also suggest that rural living, livestock, paddy field, and precipitation alternately became the main causes of NPS pollution in the small catchment, and the midstream region of the small catchment was the primary area for NPS pollution from 2000 to 2014. Despite some limitations, the coupled model provides an innovative way to simulate the effects of rural household livelihood transition on NPS pollution with the change of socioeconomic factors, and thereby identify the key factors influencing water pollution to provide valuable suggestions on how agricultural environmental risks can be reduced through the regulation of the behaviors of farming households in the future.</t>
  </si>
  <si>
    <t>[Yuan, Chengcheng; Liu, Liming; Ye, Jinwei; Ren, Guoping; Zhuo, Dong] China Agr Univ, Dept Land Resources Management, Beijing 100193, Peoples R China; [Qi, Xiaoxing] Sun Yat Sen Univ, Sch Govt, Guangzhou 510275, Guangdong, Peoples R China</t>
  </si>
  <si>
    <t>Liu, LM (corresponding author), China Agr Univ, Dept Land Resources Management, Beijing 100193, Peoples R China.</t>
  </si>
  <si>
    <t>liulm@cau.edu.cn</t>
  </si>
  <si>
    <t>National Nature Science Foundation of China [41130526]</t>
  </si>
  <si>
    <t>We gratefully acknowledge the funding support for this study from the National Nature Science Foundation of China (41130526).</t>
  </si>
  <si>
    <t>EU1HF</t>
  </si>
  <si>
    <t>Servicizing; Product-service systems; Absolute decoupling; Agent-based modelling; Behavioural economics; Policy exploration</t>
  </si>
  <si>
    <t>DIFFUSION; INNOVATIONS; SIMULATION; VEHICLES; FIRMS</t>
  </si>
  <si>
    <t>The shift to markets based on servicising, i.e. market-level transitions from product-based to service based production and consumption patterns, may contribute to achieve absolute decoupling, i.e. the combined development of economic growth and environmental impact reduction. However, the potential of this contribution is largely unknown. In this paper a generic agent-based model of servicising is presented with which this potential can be explored further, taking into account decision making procedures of business and consumer agents, including market research, preferences, and willingness to pay. The details of the servicising model are presented, and the model's abilities are demonstrated through three case studies from different sectors: car and bike sharing, crop protection, and domestic water saving systems. Absolute decoupling was found to occur in some of the policy scenarios, but results vary widely between cases. It is concluded that the model can be used to explore the impact of public policy on the uptake of servicising and on absolute decoupling in various sectors, and is therefore a useful support tool for policy makers who aim to promote servicising, as well as for researchers studying potential servicising impacts. (C) 2017 The Authors. Published by Elsevier Ltd.</t>
  </si>
  <si>
    <t>[van der Veen, R. A. C.; Kisjes, K. H.; Nikolic, I.] Delft Univ Technol, Fac Technol Policy &amp; Management, Jaffalaan 5,POB 5015, Delft, Netherlands</t>
  </si>
  <si>
    <t>van der Veen, RAC (corresponding author), Delft Univ Technol, Fac Technol Policy &amp; Management, Jaffalaan 5,POB 5015, Delft, Netherlands.</t>
  </si>
  <si>
    <t>reinier.vanderveen@gmail.com; kasperkisjes@gmail.com; i.nikolic@tudelft.nl</t>
  </si>
  <si>
    <t>European Community's Seventh Framework Programme Servicizing Policy For Resource Efficient Economy (SPREE) [FP7-ENV-2012-one-stage-308376]; European Union</t>
  </si>
  <si>
    <t>European Community's Seventh Framework Programme Servicizing Policy For Resource Efficient Economy (SPREE); European Union(European Commission)</t>
  </si>
  <si>
    <t>The research leading to these results has received funding from the European Community's Seventh Framework Programme (FP7/2007-2013) under grant agreement FP7-ENV-2012-one-stage-308376 Servicizing Policy For Resource Efficient Economy (SPREE). This document has been produced with the financial assistance of the European Union. The contents of this document are the sole responsibility of the SPREE Consortium and can under no circumstances be regarded as reflecting the position of the European Union.</t>
  </si>
  <si>
    <t>EK6UW</t>
  </si>
  <si>
    <t>hybrid, Green Published</t>
  </si>
  <si>
    <t>Packetized energy management; state bin transition model; controlled Markov chain; distributed energy resources; modeling</t>
  </si>
  <si>
    <t>DEMAND-SIDE MANAGEMENT; DIRECT LOAD CONTROL</t>
  </si>
  <si>
    <t>Transmitting a large file across the internet requires breaking up the file into smaller packets of data. Packetized energy management (PEM) leverages similar concepts from communication theory to coordinate distributed energy resources by breaking up deferrable residential consumer demands into smaller fixed-duration/fixed-power packets of energy. Each individual load is managed by a probabilistic automaton that stochastically requests energy packets as a function of its local dynamic state (e.g., temperature or state-of-charge). Based on the aggregate request rate from packetized loads and grid conditions, the PEM coordinator will modulate the rate of accepting requests, which permits tight tracking of a reference (load-shaping or market) signal. This paper presents a state bin transition (macro) model suitable for characterizing a diverse population of electric water heaters (EWHs) and energy storage systems (ESSs) under a single PEM coordinator that is validated against an agent-based simulation of the diverse loads. The resulting model illustrates how diversity of packetized load types enhances the level of flexibility offered by the coordinator.</t>
  </si>
  <si>
    <t>[Duffaut Espinosa, Luis A.; Almassalkhi, Mads; Hines, Paul; Frolik, Jeff] Univ Vermont, Dept Elect &amp; Biomed Engn, Burlington, VT 05405 USA</t>
  </si>
  <si>
    <t>Espinosa, LAD (corresponding author), Univ Vermont, Dept Elect &amp; Biomed Engn, Burlington, VT 05405 USA.</t>
  </si>
  <si>
    <t>U.S. Department of Energy's Advanced Research Projects Agency - Energy (ARPA-E) [DE-AR0000694]</t>
  </si>
  <si>
    <t>U.S. Department of Energy's Advanced Research Projects Agency - Energy (ARPA-E)(United States Department of Energy (DOE))</t>
  </si>
  <si>
    <t>This work was supported by the U.S. Department of Energy's Advanced Research Projects Agency - Energy (ARPA-E) award DE-AR0000694.</t>
  </si>
  <si>
    <t>IEEE DECIS CONTR P</t>
  </si>
  <si>
    <t>Automation &amp; Control Systems; Engineering, Electrical &amp; Electronic</t>
  </si>
  <si>
    <t>Automation &amp; Control Systems; Engineering</t>
  </si>
  <si>
    <t>BJ3ZP</t>
  </si>
  <si>
    <t>crop water requirement; Nexus; Forward contracts; Virtual water; Food trade</t>
  </si>
  <si>
    <t>LIFE-CYCLE ASSESSMENT; VIRTUAL WATER; ENERGY; NEXUS; SYSTEMS; OPTIMIZATION; FRAMEWORK; TRADE</t>
  </si>
  <si>
    <t>Ensuring a consistent and regular availability of food is crucial for food security. Food markets, supplied through both domestic production and international trade, are governed by several risks emerging from unpredictable supply chain disruptions, volatility of commodity prices, along with other unforeseen circumstances such as natural disasters. To mitigate the challenges threatening the stability of food systems, decision-making within the food sector should be enhanced and robust to accommodate any changes that might cause food shortages. Dynamic models, that can predict the behavior of food systems in order to avoid potential future knock-on effects and deficits, are incumbent to ensure the sustainable performance of food systems. This study proposes a dynamic decision-making scheme that simulates strategies of the perishable food market under different circumstances. An agent-based model (ABM) is developed and implemented using python MESA library for a case study in Qatar, illustrating the potential performance of tomato under three different scenarios to be considered, namely: (a) baseline scenario - aiming to reflect current production and market conditions; (b) water resource efficiency scenario - basing decisions on crop water requirement (CWR) depending on weather conditions; and (c) economic risk scenario - applying the concept of forward contracts to hedge against future uncertainties in crop prices. The findings of this study demonstrate that under the baseline conditions, a tomato crop can be supplied through a combination of domestic production and imports depending on the available inventories and prices imposed by exporters. The results obtained for the CWR scenario suggest the need for total reliance on imports in order to meet domestic demand, as there is potentially high-water loss, which amounts to an average of 4.9 Billion m(3) per year, if tomato is grown locally. In contrast, the results from the forward contract scenario recommend a 57% dependency on local production in order to mitigate the effects of volatility in global food prices, which contributes to a 63% reduction in environmental emissions. Findings of this research provide insight into the factors that influence strategic decision making by the food sector to enhance its economic and environmental performances under diverse circumstances. (C) 2020 Elsevier Ltd. All rights reserved.</t>
  </si>
  <si>
    <t>[Namany, Sarah; McKay, Gordon; Al-Ansari, Tareq] Hamad Bin Khalifa Univ, Coll Sci &amp; Engn, Div Sustainable Dev, Doha, Qatar; [Govindan, Rajesh; Alfagih, Luluwah; Al-Ansari, Tareq] Hamad Bin Khalifa Univ, Coll Sci &amp; Engn, Div Engn Management &amp; Decis Sci, Doha, Qatar; [Alfagih, Luluwah] Kingston Univ London, Sch Comp Sci &amp; Math, Kingston Upon Thames, Surrey, England</t>
  </si>
  <si>
    <t>Al-Ansari, T (corresponding author), Hamad Bin Khalifa Univ, Coll Sci &amp; Engn, Div Sustainable Dev, Doha, Qatar.</t>
  </si>
  <si>
    <t>talansari@hbku.edu.qa</t>
  </si>
  <si>
    <t>Hamad Bin Khalifa University (HBKU), Qatar, a member of the Qatar Foundation</t>
  </si>
  <si>
    <t>This research is supported by Hamad Bin Khalifa University (HBKU), Qatar, a member of the Qatar Foundation.</t>
  </si>
  <si>
    <t>KW1TG</t>
  </si>
  <si>
    <t>RECYCLED WATER; PUBLIC ACCEPTANCE; WASTE-WATER; PERCEPTIONS; CONTAGION; COMMUNICATION; BENEFITS</t>
  </si>
  <si>
    <t>Water reuse can serve as a sustainable alternative water source for urban areas. However, the successful implementation of large-scale water reuse projects depends on community acceptance. Because of the negative perceptions that are traditionally associated with reclaimed water, water reuse is often not considered in the development of urban water management plans. This study develops a simulation model for understanding community opinion dynamics surrounding the issue of water reuse, and how individual perceptions evolve within that context, which can help in the planning and decision-making process. Based on the social amplification of risk framework, our agent-based model simulates consumer perceptions, discussion patterns, and their adoption or rejection of water reuse. The model is based on the risk publics model, an empirical approach that uses the concept of belief clusters to explain the adoption of new technology. Each household is represented as an agent, and parameters that define their behavior and attributes are defined from survey data. Community-level parametersincluding social groups, relationships, and communication variables, also from survey dataare encoded to simulate the social processes that influence community opinion. The model demonstrates its capabilities to simulate opinion dynamics and consumer adoption of water reuse. In addition, based on empirical data, the model is applied to investigate water reuse behavior in different regions of the United States. Importantly, our results reveal that public opinion dynamics emerge differently based on membership in opinion clusters, frequency of discussion, and the structure of social networks.</t>
  </si>
  <si>
    <t>[Kandiah, Venu; Binder, Andrew R.; Berglund, Emily Z.] North Carolina State Univ, 201C Winston Hall,Campus Box 8104, Raleigh, NC 27695 USA</t>
  </si>
  <si>
    <t>Binder, AR (corresponding author), North Carolina State Univ, 201C Winston Hall,Campus Box 8104, Raleigh, NC 27695 USA.</t>
  </si>
  <si>
    <t>arbinder@ncsu.edu</t>
  </si>
  <si>
    <t>RISK ANAL</t>
  </si>
  <si>
    <t>Risk Anal.</t>
  </si>
  <si>
    <t>Public, Environmental &amp; Occupational Health; Mathematics, Interdisciplinary Applications; Social Sciences, Mathematical Methods</t>
  </si>
  <si>
    <t>Public, Environmental &amp; Occupational Health; Mathematics; Mathematical Methods In Social Sciences</t>
  </si>
  <si>
    <t>FI9KZ</t>
  </si>
  <si>
    <t>Li, L; Wang, J; Zhong, XY; Lin, J; Wu, NY; Zhang, ZH; Meng, C; Wang, XN; Shah, N; Brandon, N; Xie, S; Zhao, YR</t>
  </si>
  <si>
    <t>Li, Li; Wang, Jing; Zhong, Xiaoyi; Lin, Jian; Wu, Nianyuan; Zhang, Zhihui; Meng, Chao; Wang, Xiaonan; Shah, Nilay; Brandon, Nigel; Xie, Shan; Zhao, Yingru</t>
  </si>
  <si>
    <t>Island energy system; Agent-based modeling; Multi-objective optimization; Power-to-gas; Extreme weather conditions</t>
  </si>
  <si>
    <t>COMMERCIAL BUILDING SECTOR; DESIGN; CONSUMPTION; SIMULATION; CHINA</t>
  </si>
  <si>
    <t>Islands are constrained by geographical conditions in terms of energy delivery. Due to weak connections with the mainland and the power grid, the diversity of island energy demand leads to high economic costs and envi-ronmental pollution issues. This study proposes a 100% renewable island energy system, which integrates with power-to-gas, combined cooling, heating and power, and desalination technologies to supply electricity, heating, cooling, gas and fresh water to the local residents. A comprehensive approach for energy demand prediction, system design and dispatch optimization, as well as system evaluation is proposed. For energy demand pre-diction, agent-based modeling is used to simulate the demand of electricity, heating, cooling, gas and fresh water for the case study community on the island. The k-means clustering and scenario tree are further adopted to generate representative stochastic scenarios, which are applied to capture the uncertainty of energy demand. A multi-objective optimization model is developed to optimize the system design and scheduling strategy simul-taneously. In order to demonstrate the effectiveness of the proposed approach and to evaluate the obtained optimal solutions for the case study, different objectives and extreme weather conditions are specifically considered. The optimal solution obtained shows that compared to battery storage, a 2.5% annual cost reduction can be achieved by using power-to-gas technology for energy storage. The findings also suggest that extreme weather conditions can be coped with by increasing the capacity of biogas generation, desalination, and energy storage equipment, thereby improving the resilience of the island energy system.</t>
  </si>
  <si>
    <t>[Li, Li; Lin, Jian; Wu, Nianyuan; Meng, Chao; Xie, Shan; Zhao, Yingru] Xiamen Univ, Coll Energy, Xiamen 361005, Peoples R China; [Wang, Jing; Zhong, Xiaoyi] State Grid Shanghai Municipal Elect Power Co, Shanghai Urban Power Supply Branch, Shanghai 201200, Peoples R China; [Zhang, Zhihui] State Grid Shanghai Energy Interconnect Res Inst, Shanghai 201210, Peoples R China; [Wang, Xiaonan] Tsinghua Univ, Dept Chem Engn, Beijing 100084, Peoples R China; [Shah, Nilay] Imperial Coll London, Dept Chem Engn, London SW7 2AZ, England; [Brandon, Nigel] Imperial Coll London, Dept Earth Sci &amp; Engn, London SW7 2AZ, England</t>
  </si>
  <si>
    <t>Xie, S; Zhao, YR (corresponding author), Xiamen Univ, Coll Energy, Xiamen 361005, Peoples R China.</t>
  </si>
  <si>
    <t>shanxie@xmu.edu.cn; yrzhao@xmu.edu.cn</t>
  </si>
  <si>
    <t>Lin, Jian/AIC-5466-2022</t>
  </si>
  <si>
    <t>Lin, Jian/0000-0001-6513-4358; Brandon, Nigel/0000-0003-2230-8666</t>
  </si>
  <si>
    <t>National Natural Sci-ence Foundation of China [51876181]; Xiamen Youth Innovation Fund [3502Z20206034]</t>
  </si>
  <si>
    <t>National Natural Sci-ence Foundation of China(National Natural Science Foundation of China (NSFC)); Xiamen Youth Innovation Fund</t>
  </si>
  <si>
    <t>The authors are grateful for the support from National Natural Sci-ence Foundation of China under grant No. 51876181. The work is also supported by the Xiamen Youth Innovation Fund with grant No. 3502Z20206034.</t>
  </si>
  <si>
    <t>FEB 15</t>
  </si>
  <si>
    <t>ZU4GD</t>
  </si>
  <si>
    <t>WOS:000769799500009</t>
  </si>
  <si>
    <t>SLEEPING-SICKNESS; EPIDEMIOLOGY; GLOSSINA</t>
  </si>
  <si>
    <t>This paper presents the development of an agent-based model (ABM) to investigate Trypanosoma brucei rhodesiense human African trypanosomiasis (rHAT) disease transmission. The ABM model, fitted at a fine spatial scale, was used to explore the impact of a growing host population on the spread of disease along a 75 km transect in the Luangwa Valley, Zambia. The model was used to gain a greater understanding of how increases in human and domestic animal population could impact the contact network between vector and host, the subsequent transmission patterns, and disease incidence outcomes in the region. Modelled incidence rates showed increases in rHAT transmission in both humans and cattle. The primary demographic attribution of infection switched dramatically from young children of both sexes attending school, to adult women performing activities with shorter but more frequent trips, such as water and firewood collection, with men more protected due to the presence of cattle in their routines. The interpretation of model output provides a plausible insight into both population development and disease transmission in the near future in the region and such techniques could aid well-targeted mitigation strategies in the future.</t>
  </si>
  <si>
    <t>[Alderton, Simon; Atkinson, Peter M.] Univ Lancaster, Lancaster Environm Ctr, Lancaster, England; [Alderton, Simon; Atkinson, Peter M.] Univ Lancaster, Lancaster Med Sch, CHICAS, Lancaster, England; [Alderton, Simon; Atkinson, Peter M.] Univ Southampton, Fac Social &amp; Human Sci, Geog &amp; Environm, Southampton, Hants, England; [Macleod, Ewan T.; Machila, Noreen; Welburn, Susan C.] Coll Med &amp; Vet Med, Biomed Sci, Div Infect &amp; Pathway Med, 1 George Sq, Edinburgh, Midlothian, Scotland; [Anderson, Neil E.] Univ Edinburgh, Royal Dick Sch Vet Studies, Roslin, Midlothian, Scotland; [Anderson, Neil E.] Univ Edinburgh, Roslin Inst, Roslin, Midlothian, Scotland; [Simuunza, Martin] Univ Zambia, Sch Vet Med, Dept Dis Control, Lusaka, Zambia; [Atkinson, Peter M.] Queens Univ Belfast, Sch Geog Archaeol &amp; Palaeoecol, Belfast, Antrim, North Ireland; [Atkinson, Peter M.] Chinese Acad Sci, Inst Geog Sci &amp; Nat Resources Res, State Key Lab Resources &amp; Environm Informat Syst, Beijing, Peoples R China</t>
  </si>
  <si>
    <t>Alderton, S (corresponding author), Univ Lancaster, Lancaster Environm Ctr, Lancaster, England.;Alderton, S (corresponding author), Univ Lancaster, Lancaster Med Sch, CHICAS, Lancaster, England.;Alderton, S (corresponding author), Univ Southampton, Fac Social &amp; Human Sci, Geog &amp; Environm, Southampton, Hants, England.</t>
  </si>
  <si>
    <t>s.alderton@lancaster.ac.uk</t>
  </si>
  <si>
    <t>Anderson, Neil/Z-4302-2019; macleod, ewan/AAG-1005-2019</t>
  </si>
  <si>
    <t>Anderson, Neil/0000-0001-7192-7717; macleod, ewan/0000-0002-5517-0619; Atkinson, Peter/0000-0002-5489-6880; Alderton, Simon/0000-0001-5645-2338</t>
  </si>
  <si>
    <t>EPSRC Doctoral Training Centre grant [EP/G03690X/1]; Dynamic Drivers of Disease in Africa Consortium, NERC part of the Ecosystem Services for Poverty Alleviation (ESPA) programme [NE/J000701/1]; Department for International Development (DFID); Economic and Social Research Council (ESRC); Natural Environment Research Council (NERC); NERC [NE/J001570/1, NE/J001422/1, NE/J000701/1] Funding Source: UKRI</t>
  </si>
  <si>
    <t>EPSRC Doctoral Training Centre grant(UK Research &amp; Innovation (UKRI)Engineering &amp; Physical Sciences Research Council (EPSRC)); Dynamic Drivers of Disease in Africa Consortium, NERC part of the Ecosystem Services for Poverty Alleviation (ESPA) programme; Department for International Development (DFID); Economic and Social Research Council (ESRC)(UK Research &amp; Innovation (UKRI)Economic &amp; Social Research Council (ESRC)); Natural Environment Research Council (NERC)(UK Research &amp; Innovation (UKRI)Natural Environment Research Council (NERC)); NERC(UK Research &amp; Innovation (UKRI)Natural Environment Research Council (NERC))</t>
  </si>
  <si>
    <t>SA is supported by an EPSRC Doctoral Training Centre grant (EP/G03690X/1). PMA and SCW are supported by, and the fieldwork in this investigation was carried out for, the Dynamic Drivers of Disease in Africa Consortium, NERC project no. NE/J000701/1, part of the Ecosystem Services for Poverty Alleviation (ESPA) programme. The ESPA programme is funded by the Department for International Development (DFID), the Economic and Social Research Council (ESRC) and the Natural Environment Research Council (NERC). The funders had no role in study design, data collection and analysis, decision to publish, or preparation of the manuscript.</t>
  </si>
  <si>
    <t>PUBLIC LIBRARY SCIENCE</t>
  </si>
  <si>
    <t>SAN FRANCISCO</t>
  </si>
  <si>
    <t>1160 BATTERY STREET, STE 100, SAN FRANCISCO, CA 94111 USA</t>
  </si>
  <si>
    <t>PLOS NEGLECT TROP D</t>
  </si>
  <si>
    <t>Plos Neglect. Trop. Dis.</t>
  </si>
  <si>
    <t>Infectious Diseases; Parasitology; Tropical Medicine</t>
  </si>
  <si>
    <t>HC9XZ</t>
  </si>
  <si>
    <t>Green Submitted, gold, Green Published, Green Accepted</t>
  </si>
  <si>
    <t>Zhang, Y; Zhen, JL; Lu, WT; Liu, C; Zhang, JB; Feng, HL; Xie, YL; Guo, HC</t>
  </si>
  <si>
    <t>Zhang, Yang; Zhen, Jiliang; Lu, Wentao; Liu, Chang; Zhang, Jinbo; Feng, Honglin; Xie, Yulei; Guo, Huaicheng</t>
  </si>
  <si>
    <t>ECOLOGICAL ENGINEERING</t>
  </si>
  <si>
    <t>Water-energy nexus; System dynamics; Agent-based model; Fuzzy optimization</t>
  </si>
  <si>
    <t>RESOURCES MANAGEMENT; MODEL; SYSTEM; DYNAMICS; PROVINCE; CLIMATE; DESIGN</t>
  </si>
  <si>
    <t>Investigating the nexus of water and energy is important for understanding their complex interrelationships and promoting sustainable development. This study used a complex adaptive system model to explore the interaction mechanism of the water-energy nexus at the regional scale and generate behavior-optimization schemes for industries and individuals under uncertainty. This model was integrated with a system dynamics model and an agent-based model, as well as a fuzzy optimization approach that considered uncertainty in agents' behavior. A novel index of the water-energy nexus was constructed to express its characteristics. This framework was applied to Tianjin, China, to evaluate water-energy outputs considering the interaction between micro-and macrolevel systems. The results revealed the following: 1) Water and energy consumption showed a slowly increasing trend, whereby energy and water consumption will reach, respectively, 29.66 x 10(8) m(3) and 101.80 x 10(6) tons of coal equivalent (tce) by 2030. 2) A low degree of satisfaction among agents will lead to larger amounts of water-related energy and energy-related water from household use and efficiency investment by enterprise. A high degree of satisfaction is key to achieving high energy-related water-consumption intensity in the early stage; that dominance will turn into a low degree of satisfaction in the late stage. 3) Aggressive behavior and willingness among agents will have a greater effect on the water-energy nexus in the early stage. Conservative behavior, meanwhile, will have considerable potential to control the development of the water-energy nexus in the future.</t>
  </si>
  <si>
    <t>[Zhang, Yang; Zhang, Jinbo; Guo, Huaicheng] Peking Univ, Coll Environm Sci &amp; Engn, Beijing 100871, Peoples R China; [Zhen, Jiliang] Beijing Univ Civil Engn &amp; Architecture, Sch Sci, Beijing 100044, Peoples R China; [Lu, Wentao] Chinese Acad Environm Planning, Inst Strateg Planning, Beijing 100012, Peoples R China; [Liu, Chang] China Longjiang Forest Ind Grp Cogenerat Ltd Co, Harbin 150008, Peoples R China; [Feng, Honglin] Tianjin Guoneng Jinneng Bihai Cogenerat Ltd Co, Tianjin 300450, Peoples R China; [Xie, Yulei] Guangdong Univ Technol, Inst Environm &amp; Ecol Engn, Key Lab City Cluster Environm Safety &amp; Green Dev, Minist Educ, Guangzhou 510006, Peoples R China</t>
  </si>
  <si>
    <t>Guo, HC (corresponding author), Peking Univ, Coll Environm Sci &amp; Engn, Beijing 100871, Peoples R China.;Xie, YL (corresponding author), Guangdong Univ Technol, Inst Environm &amp; Ecol Engn, Key Lab City Cluster Environm Safety &amp; Green Dev, Minist Educ, Guangzhou 510006, Peoples R China.</t>
  </si>
  <si>
    <t>zhangyang2019@pku.edu.cn; zhenjiliang@bucea.edu.cn; luwt@mail.tsinghua.edu.cn; lc05050707@126.com; kimballzhang@outlook.com; 12110910@chnenergy.com.cn; xieyulei@gdut.edu.cn; guo_hc@pku.edu.cn</t>
  </si>
  <si>
    <t>Zhang, Jinbo/CAG-2629-2022</t>
  </si>
  <si>
    <t>National Science and Technology Major Project [2015FY111000]</t>
  </si>
  <si>
    <t>National Science and Technology Major Project</t>
  </si>
  <si>
    <t>Acknowledgements This study was supported by the National Science and Technology Major Project (2015FY111000) . The authors are thankful to thereviewers and editors for their valuable comments and suggestions which have improved the presentation of this paper.</t>
  </si>
  <si>
    <t>0925-8574</t>
  </si>
  <si>
    <t>1872-6992</t>
  </si>
  <si>
    <t>ECOL ENG</t>
  </si>
  <si>
    <t>Ecol. Eng.</t>
  </si>
  <si>
    <t>Ecology; Engineering, Environmental; Environmental Sciences</t>
  </si>
  <si>
    <t>Environmental Sciences &amp; Ecology; Engineering</t>
  </si>
  <si>
    <t>1B9UC</t>
  </si>
  <si>
    <t>WOS:000792774500011</t>
  </si>
  <si>
    <t>Pattern-oriented modeling; Savanna elephants; Movement behavior</t>
  </si>
  <si>
    <t>African elephants (Loxodonta africana) are well-studied and inhabit diverse landscapes that are being transformed by both humans and natural forces. Most tools currently in use are limited in their ability to predict how elephants will respond to novel changes in the environment. Individual-, or agent-based modeling (ABM), may extend current methods in addressing and predicting spatial responses to environmental conditions over time. We developed a spatially explicit agent-based model to simulate elephant space use and validated the model with movement data from elephants in Kruger National Park (KNP) and Chobe National Park (CNP). We simulated movement at an hourly scale, as this scale can reflect switches in elephant behavior due to changes in internal states and short-term responses to the local availability and distribution of critical resources, including forage, water, and shade. Known internal drivers of elephant movement, including perceived temperature and the time since an individual last visited a water source, were linked to the external environment through behavior-based movement rules. Simulations were run on model landscapes representing the wet season and the hot, dry season for both parks. The model outputs, including home range size, daily displacement distance, net displacement distance, and maximum distance traveled from a permanent water source, were evaluated through qualitative and quantitative comparisons to actual elephant movement data from both KNP and CNP. The ABM was successful in reproducing the differences in daily displacements between seasons in each park, and in distances traveled from a permanent water source between parks and seasons. Other movement characteristics, including differences in home range sizes and net daily displacements, were partially reproduced. Out of the all the statistical comparisons made between the empirical and simulated movement patterns, the majority were classified as discrepancies of medium or small effect size. We have shown that a resource-driven model with relatively simple decision rules generates trajectories with movement characteristics that are mostly comparable to those calculated from empirical data. Simulating hourly movement (as our model does) may be useful in predicting how finer-scale patterns of space use, such as those created by foraging movements, are influenced by finer spatio-temporal changes in the environment.</t>
  </si>
  <si>
    <t>[Diaz, Stephanie G.; Gaines, Michael S.] Univ Miami, Coral Gables, FL 33124 USA; [DeAngelis, Donald L.] US Geol Survey, Wetland &amp; Aquat Res Ctr, Davie, FL USA; [Purdon, Andrew; Mole, Michael A.; van Aarde, Rudi J.] Univ Pretoria, Dept Zool &amp; Entomol, Conservat Ecol Res Unit, ZA-0028 Pretoria, South Africa</t>
  </si>
  <si>
    <t>Diaz, SG (corresponding author), Univ Miami, Coral Gables, FL 33124 USA.</t>
  </si>
  <si>
    <t>s.diaz12@umiami.edu</t>
  </si>
  <si>
    <t>USGS's Greater Everglades Priority Ecosystem Science program</t>
  </si>
  <si>
    <t>DLD was funded by the USGS's Greater Everglades Priority Ecosystem Science program. Any use of trade, firm, or product names is for descriptive purposes only and does not imply endorsement by the U.S. Government.</t>
  </si>
  <si>
    <t>ECOL MODEL</t>
  </si>
  <si>
    <t>Ecol. Model.</t>
  </si>
  <si>
    <t>MAR 2021</t>
  </si>
  <si>
    <t>Ecology</t>
  </si>
  <si>
    <t>RG3MR</t>
  </si>
  <si>
    <t>IEEE,IEEE Comp Soc,IEEE Tech Comm Scalable Comp,NVIDIA Corp,Berger Levrault,Univ Toulouse, LAAS CNRS,CNRS,MARIE TOULOUSE</t>
  </si>
  <si>
    <t>INTERNET</t>
  </si>
  <si>
    <t>Deployment and maintenance of Smart Homes and Smart Grids in real environments is an expensive and lengthy process. In this paradigm, simulations play an important role by providing means of emulating the behaviour of the aforementioned systems. However, these simulations may suffer from lack of accuracy due to the inability to properly reproduce the operation of complex technologies such as solar panels, Heating, Ventilating and Air Conditioning systems (HVAC), sewerage networks or water provisioning. Within this context, this paper presents a Smart-Home Simulation architecture that is able to carry out more representational simulations by merging agent-based simulation of human behaviour with real-world modelling capabilities such as those provided by the Simulink software. Based on the simulation of human behaviour, water and electricity consumption profiles are generated and sent to Simulink models using the TCP/IP communication protocol. The obtained results show that a synchronized connection of both platforms is feasible, enabling a more accurate representation of the systems involved.</t>
  </si>
  <si>
    <t>[Kamara-Esteban, Oihane; Sorrosal, Gorka; Pijoan, Ander; Castillo-Calzadilla, Tony; Iriarte-Lopez, Xabier; Macarulla-Arenaza, Ana M.; Martin, Cristina; Alonso-Vicario, Ainhoa; Borges, Cruz E.] DeustoTech Energy Fdn Deusto, Avda Univ 24, Bilbao 48007, Spain; [Castillo-Calzadilla, Tony] Univ Oriente, Inst Technol, Via Alterna, Barcelona, Venezuela</t>
  </si>
  <si>
    <t>Kamara-Esteban, O (corresponding author), DeustoTech Energy Fdn Deusto, Avda Univ 24, Bilbao 48007, Spain.</t>
  </si>
  <si>
    <t>oihane.esteban@deusto.es; gsorrosal@deusto.es; ander.pijoan@deusto.es; tony.castillo@opendeusto.es; xabier.iriarte.lopez@opendeusto.es; ana.macarulla@deusto.es; cristina.andonegui@deusto.es; ainhoa.alonso@deusto.es; cruz.borges@deusto.es</t>
  </si>
  <si>
    <t>Castillo-Calzadilla, Tony/J-5981-2019; Borges, Cruz E./E-9602-2012; Arenaza, Ana M Macarulla/F-8416-2010</t>
  </si>
  <si>
    <t>Castillo-Calzadilla, Tony/0000-0002-2935-7762; Borges, Cruz E./0000-0002-4956-809X; Arenaza, Ana M Macarulla/0000-0001-8741-0990</t>
  </si>
  <si>
    <t>GREEN TRAVELLING [6/12/IN/2014/195]; Basque Government [IG-2014/0000133, PRE 2015 2 0003]; University of Deusto; European Commission [SUD-UE 1301256]</t>
  </si>
  <si>
    <t>GREEN TRAVELLING; Basque Government(Basque Government); University of Deusto; European Commission(European CommissionEuropean Commission Joint Research Centre)</t>
  </si>
  <si>
    <t>This work was carried out with the financial support of a) GREEN TRAVELLING (Era NET Transport 6/12/IN/2014/195 label) partially founded by Diputacion Foral de Bizkaia through the Plan de Promocion de la Innovacion (6/12/IN/2014/195) and by the Basque Government through the GAITEK program (IG-2014/0000133) b) Industrial Ph.D. grant given by the University of Deusto (2015-2018), c) Ph.D. grant PRE 2015 2 0003 given by the Basque Government, and d) the Erasmus Mundus SUD-UE 1301256 given by European Commission.</t>
  </si>
  <si>
    <t>BG9JE</t>
  </si>
  <si>
    <t>agent-based model; water pollution; environmental tax; payments for environmental services; policy scenarios</t>
  </si>
  <si>
    <t>ENVIRONMENTAL SERVICES; PAYMENTS; MANAGEMENT; SIMULATION; EXPERIENCE; PROGRAMS; ISSUES</t>
  </si>
  <si>
    <t>Water pollution is a prominent and urgent environmental problem that represents a significant challenge in solving the water resource crisis. The ability to choose an optimal environmental policy can provide support for decision makers to effectively control water pollution. This study presents an agent-based model (ABM) approach involving two classes of agents, agricultural household agents and factory agents, to simulate pollutant discharge, and discusses the effectiveness of the whole system and subsystems under multiple policy scenarios involving a combination of environmental tax (ET) and payments for environmental services (PES). This idea is applied to the Shanmei Reservoir watershed, one of the important reservoirs watersheds in China. The results showed that: (1) the ABM represented well pollutant discharge scenarios where Nash coefficient (NSE) values were greater than 0.76; (2) though ET and PES policies were both effective in reducing water pollution, PES was more effective at reducing pollution from households, while ET was more effective at controlling industrial pollution emissions; (3) considering the environmental costs and general effect of the system, a medium degree of PES for agricultural household agents and a medium degree of ET for factory agents were found to be optimal for controlling water pollution in this watershed. A differential compensation mechanism and the introduction of market incentives were recommended to reduce the financial burden of the government. The results also demonstrated that ABM was helpful for choosing an effective policy to control pollution emissions and realizing environmental objectives and socio-economic co-benefits. The model structure and parameters should be optimized in specific cases because of the uncertainty of partial parameters and the neglect of the consumption process. These findings could be helpful for providing guidelines for water pollution control and sustainable water management in China.</t>
  </si>
  <si>
    <t>[Deng, Caiyun; Wang, Hongrui] Beijing Normal Univ, Coll Water Sci, Beijing 100875, Peoples R China; [Deng, Caiyun; Wang, Hongrui; Zhang, Weiguang; Jiao, Zhiqian] Beijing Key Lab Urban Hydrol Cycle &amp; Sponge City, Beijing 100875, Peoples R China</t>
  </si>
  <si>
    <t>Wang, HR (corresponding author), Beijing Normal Univ, Coll Water Sci, Beijing 100875, Peoples R China.;Wang, HR (corresponding author), Beijing Key Lab Urban Hydrol Cycle &amp; Sponge City, Beijing 100875, Peoples R China.</t>
  </si>
  <si>
    <t>dengcaiyun@mail.bnu.edu.cn; henrywang@bnu.edu.cn; weiguang2576@163.com; ajiaoqian@163.com</t>
  </si>
  <si>
    <t>National Natural Science Foundation of China [51479003, 51879010]</t>
  </si>
  <si>
    <t>This research was funded by the National Natural Science Foundation of China grant number [51479003] and [51879010].</t>
  </si>
  <si>
    <t>GY7UR</t>
  </si>
  <si>
    <t>India; Water; Sanitation; Childhood diarrhea; Agent-based model; Cost effectiveness; Financial risk protection</t>
  </si>
  <si>
    <t>ROTAVIRUS VACCINATION; SENSITIVITY-ANALYSIS; COST-EFFECTIVENESS; DRINKING-WATER; RURAL INDIA; COUNTRIES; CHILDREN; QUALITY; INTERVENTIONS; METAANALYSIS</t>
  </si>
  <si>
    <t>Each year, more than 300,000 children in India under the age of five years die from diarrheal diseases. Clean piped water and improved sanitation are known to be effective in reducing the mortality and morbidity burden of diarrhea but are not yet available to close to half of the Indian population. In this paper, we estimate the health benefits (reduced cases of diarrhea! incidence and deaths averted) and economic benefits (measured by out-of-pocket treatment expenditure averted and value of insurance gained) of scaling up the coverage of piped water and improved sanitation among Indian households to a near-universal 95% level. We use IndiaSim, a previously validated, agent-based microsimulation platform to model disease progression and individual demographic and healthcare-seeking behavior in India, and use an iterative, stochastic procedure to simulate health and economic outcomes over time. We find that scaling up access to piped water and improved sanitation could avert 43,352 (95% uncertainty range [UR] 42,201-44,504) diarrheal episodes and 68 (95% UR 62-74) diarrheal deaths per 100,000 under-5 children per year, compared with the baseline. We estimate a saving of (in 2013 US$) $357,788 (95% $345,509-$370,067) in out-of-pocket diarrhea treatment expenditure, and $1646 (95% UR $1603-$1689) in incremental value of insurance per 100,000 under-5 children per year over baseline. The health and financial benefits are highly progressive, i.e. they reach poorer households more. Thus, scaling up access to piped water and improved sanitation can lead to large and equitable reductions in the burden of childhood diarrheal diseases in India. (C) 2016 Elsevier Ltd. All rights reserved.</t>
  </si>
  <si>
    <t>[Nandi, Arindam; Megiddo, Itamar; Ashok, Ashvin; Verma, Amit; Laxminarayan, Ramanan] Ctr Dis Dynam Econ &amp; Policy, 1400 Eye St NW,Ste 500, Washington, DC 20005 USA; [Nandi, Arindam; Laxminarayan, Ramanan] Publ Hlth Fdn India, Gurgaon, India; [Megiddo, Itamar] Univ Strathclyde, Dept Management Sci, Glasgow, Lanark, Scotland; [Laxminarayan, Ramanan] Princeton Univ, Princeton, NJ 08544 USA</t>
  </si>
  <si>
    <t>Nandi, A (corresponding author), Ctr Dis Dynam Econ &amp; Policy, 1400 Eye St NW,Ste 500, Washington, DC 20005 USA.</t>
  </si>
  <si>
    <t>nandi@cddep.org; megiddo@cddep.org; ashok@cddep.org; verma@cddep.org; ramanan@cddep.org</t>
  </si>
  <si>
    <t>Megiddo, Itamar/0000-0001-8391-6660; Nandi, Arindam/0000-0002-3967-2424</t>
  </si>
  <si>
    <t>Grand Challenges Canada [0072-03]</t>
  </si>
  <si>
    <t>Grand Challenges Canada(CGIAR)</t>
  </si>
  <si>
    <t>This study was funded by Grand Challenges Canada through the Saving Brains project (grant no. 0072-03). The funders had no role in study design, data collection and analysis, decision to publish, or preparation of the manuscript.</t>
  </si>
  <si>
    <t>SOC SCI MED</t>
  </si>
  <si>
    <t>Soc. Sci. Med.</t>
  </si>
  <si>
    <t>Public, Environmental &amp; Occupational Health; Social Sciences, Biomedical</t>
  </si>
  <si>
    <t>Public, Environmental &amp; Occupational Health; Biomedical Social Sciences</t>
  </si>
  <si>
    <t>ET3YS</t>
  </si>
  <si>
    <t>Sergeev, VV; Zainullin, II; Zeigman, YV; Yakubov, RN</t>
  </si>
  <si>
    <t>Sergeev, Vitaly Vyacheslavovich; Zainullin, Ildus Ildarovich; Zeigman, Yury Veniaminovich; Yakubov, Ravil Nailevich</t>
  </si>
  <si>
    <t>RESEARCH FOR THE SELECTIVENESS OF EMULSION SYSTEMS WITH SIO2 NANOPARTICLES</t>
  </si>
  <si>
    <t>NANOTECHNOLOGIES IN CONSTRUCTION-A SCIENTIFIC INTERNET-JOURNAL</t>
  </si>
  <si>
    <t>nanoparticles; silicon dioxide; emulsion system; reservoir stimulation; oil production; selective treatment</t>
  </si>
  <si>
    <t>Over the past five years, due to the macroeconomic situation, there have been significant changes in the different industries [1-2]. The main changes concern the optimization of production and the need to increase the efficiency of technological processes [2]. As for Russia, the changes caused significant impact on the oil and gas industry as a whole and led to reduced share of foreign technologies in oil companies' portfolios. That mainly led to increased demand for domestic technologies and, as a result, to significant increase in the number of research and development (R&amp;D) projects aimed at creating innovative developments and improving existing technologies [3]. But any R&amp;D process in heavy and production industries takes some time: on the average it takes 3-5 years to conduct laboratory, bench and pilot tests for a potential industrial launch after the results have been monitored. At present, the developments of domestic R&amp;D projects launched in 2014-2015 are entering the field trial stage or industrial implementation in Russia with the potential international commercialization [3]. One of such project was launched in 2015 by the authors who were a part of a group of scientists and engineers in the field of colloidal chemistry and the development of oil and gas fields. The goal of the project is to increase the efficiency of physicochemical methods to impact on the oil and gas reservoir, and the main task is to develop innovative and environmental water-blocking agents based on the use of silicon dioxide nanoparticles (SiO2) [4-8]. The article presents the results of the experimental research that studied the selectiveness of emulsion systems modified with SiO2 nanoparticles. The method to perform filtration experiments on cores of rocks with different saturation of a porous medium, as well as the method to prepare samples of cores, fluids and process fluids for conducting filtration experiments have been described. The basic filtration-capacitive parameters of the studied objects were determined, the effect of various emulsion systems modified with SiO2 nanoparticles on the permeability of rock cores was revealed. According to the research results it was found that the saturation of rocks is the most important factor for the water-blocking properties of the new emulsion systems modified with SiO2 nanoparticles.</t>
  </si>
  <si>
    <t>[Sergeev, Vitaly Vyacheslavovich] VI ENERGY LLC, Skolkovo Fdn, Skolkovo Innovat Ctr, Innovat, Nobel St 7,POB 119, Moscow 121205, Russia; [Zainullin, Ildus Ildarovich] BashNIPIneft LLC, Dept Core &amp; Reservoir Fluid Studies, Lab Core Flooding, Lenin St 86-1, Ufa 450006, Resp Bashkortos, Russia; [Zeigman, Yury Veniaminovich] Ufa State Petr Technol Univ, Engn, Kosmonavtov St 1, Ufa 450062, Bashkortostan R, Russia; [Zeigman, Yury Veniaminovich] Ufa State Petr Technol Univ, Kosmonavtov St 1, Ufa 450062, Bashkortostan R, Russia; [Zeigman, Yury Veniaminovich; Yakubov, Ravil Nailevich] Ufa State Petr Technol Univ, Oil Gas Fields Dev Dept, Kosmonavtov St 1, Ufa 450062, Bashkortostan R, Russia</t>
  </si>
  <si>
    <t>Sergeev, VV (corresponding author), VI ENERGY LLC, Skolkovo Fdn, Skolkovo Innovat Ctr, Innovat, Nobel St 7,POB 119, Moscow 121205, Russia.</t>
  </si>
  <si>
    <t>sergeev@vi-energy.ru; zaynullinii@bashneft.ru; jvzeigman@gmail.com; rnyakubov@gmail.com</t>
  </si>
  <si>
    <t>Yakubov, Ravil/K-9444-2018</t>
  </si>
  <si>
    <t>NANOSTROITEL STVO</t>
  </si>
  <si>
    <t>MOSCOW</t>
  </si>
  <si>
    <t>GAZETNYI PER-K, DOM 9, STR 4, MOSCOW, 125009, RUSSIA</t>
  </si>
  <si>
    <t>2075-8545</t>
  </si>
  <si>
    <t>NANOTECHNOL CONSTR</t>
  </si>
  <si>
    <t>Nanotechnol. Constr.</t>
  </si>
  <si>
    <t>10.15828/2075-8545-2018-10-6-18-44</t>
  </si>
  <si>
    <t>Nanoscience &amp; Nanotechnology</t>
  </si>
  <si>
    <t>Science &amp; Technology - Other Topics</t>
  </si>
  <si>
    <t>HJ4UM</t>
  </si>
  <si>
    <t>WOS:000457171100001</t>
  </si>
  <si>
    <t>Renewable energy sharing; COP; Multi-agent system</t>
  </si>
  <si>
    <t>DISTRIBUTION NETWORK; OPTIMIZATION; MODEL; FRAMEWORK</t>
  </si>
  <si>
    <t>Renewable energy is an inexhaustible source of energy because it is constantly renewed by natural processes. Renewable energy is derived from natural phenomena mainly sun (radiation), moon (tide) and earth (geothermal). There is also energy generated from the water and the wind. All these renewable mentioned sources are called new energies. Renewable energy technologies transform these natural sources into several forms of usable energy, most often electricity but also heat, chemical and mechanical energies. Renewable energy technologies are called green or clean because they pollute little or nothing of the entire environment. The use of renewable energy hybrid power plants allows any country to develop its energy independence and security. Nevertheless, these resources are weather and location dependent, leading to the intermittent and randomness of their use for energy production. The hybrid power plant production fluctuates independently from demand, yielding to an energy excess for some power plants while others cannot satisfy their minimal needs. Since the production of renewable energy is expensive due to the high cost of both the installation of renewable energy power plants and the storage devices, the optimal solution is to avail from the produced quantity of this energy by maximizing its use and consequently minimizing its loss. Many attempts have been made in the past decade to enhance, generalise and mainly optimise the use of renewable energy using different technologies, including metaheuristics (Piccolo &amp; Siano, 2009; Senol et al., 2016; Kumawat et al., 2017; Etxeberria et al., 2010; Niknam &amp; Firouzi, 2009; Soroudi, Ehsan &amp; Zareipour, 2011) for an optimal DGs Fossil fuels are the most used resources mainly to power homes and cars, i.e., in 2017, fossil fuels generated 64.5% of the world electricity. For a country, it is convenient to use coal, oil or gas energy sources to meet its energy needs, but these fuel sources are often limited. In addition, the intensive use of these energies causes dangerous consequences of the environment, mainly the phenomenon climate change (Dincer, 1999; Goldemberg, 2006). The burning of fossil fuels sends greenhouse gases into the atmosphere, polluting air, soil and water while trapping the heat of the sun and contributing to a global warming. Other traditional energies use biomass which designates the organic waste that can become a Energy is at the basis of any social or economic development. The fossil energy is the most used energy source in the world due to the cheap building cost of the power plants. In 2017, fossil fuels generated 64.5% of the world electricity. Since, on the one hand, these plants produce large amount of carbon dioxide which drives climate change, and on the other hand, the storage of existing world fossil resources is in continuous decrease, safer and highly available energy sources should be considered. Hence, for human well-being, and for a green environment, these fossil plants should be switched to cleaner ones. Renewable energy resources have begun to be used as alternatives. These resources have many advantages such as sustainability and environmental protection. Nevertheless, they require higher investment costs. In addition, the reliability of many planted systems is poor. In most cases these systems are not sufficient to ensure a continuous demand of energy for all in needy regions because most of their resources are climate dependent. The main contributions of this research are (i) to propose a natural formalisation of the renewable energy distribution problem, based on COP (Constraint Optimisation Problem), that takes into consideration all the constraints related to this problem; (u) to propose a novel multi-agent dynamic (A-RESS for Agent based Renewable Energy Sharing System) to solve this problem. The proposed system was implemented and the obtained results show its efficiency and performance in terms of produced, consumed and lost energy.</t>
  </si>
  <si>
    <t>[Toumia, Imen] Univ Manouba, Natl Sch Comp Sci, Manouba, Tunisia; [Ben Hassine, Ahlem] Univ Jeddah, Coll Comp Sci &amp; Engn, Jeddah, Saudi Arabia</t>
  </si>
  <si>
    <t>Toumia, I (corresponding author), Univ Manouba, Natl Sch Comp Sci, Manouba, Tunisia.</t>
  </si>
  <si>
    <t>toumia.imen@gmail.com</t>
  </si>
  <si>
    <t>College of Computer Science and Engineering, University of Jeddah, Saudi Arabia [UJ-02-078-DR]</t>
  </si>
  <si>
    <t>College of Computer Science and Engineering, University of Jeddah, Saudi Arabia</t>
  </si>
  <si>
    <t>This research was supported by the project UJ-02-078-DR of distinctive research from the College of Computer Science and Engineering, University of Jeddah, Saudi Arabia. The funders had no role in study design, data collection and analysis, decision to publish, or preparation of the manuscript.</t>
  </si>
  <si>
    <t>PEERJ INC</t>
  </si>
  <si>
    <t>341-345 OLD ST, THIRD FLR, LONDON, EC1V 9LL, ENGLAND</t>
  </si>
  <si>
    <t>PEERJ COMPUT SCI</t>
  </si>
  <si>
    <t>PeerJ Comput. Sci.</t>
  </si>
  <si>
    <t>Computer Science, Artificial Intelligence; Computer Science, Information Systems; Computer Science, Theory &amp; Methods</t>
  </si>
  <si>
    <t>TD2DG</t>
  </si>
  <si>
    <t>Magliocca, NR; Brown, DG; McConnell, VD; Nassauer, JI; Westbrook, SE</t>
  </si>
  <si>
    <t>Magliocca, Nicholas R.; Brown, Daniel G.; McConnell, Virginia D.; Nassauer, Joan I.; Westbrook, S. Elizabeth</t>
  </si>
  <si>
    <t>Effects of alternative developer decision-making models on the production of ecological subdivision designs: experimental results from an agent-based model</t>
  </si>
  <si>
    <t>agent-based modelling (ABM); development process; environmental design; housing; land use</t>
  </si>
  <si>
    <t>URBAN SPRAWL; LOSS AVERSION; OPEN SPACE; EXTERNALITIES; PSYCHOLOGY; ECONOMICS; MARKET</t>
  </si>
  <si>
    <t>Approaches to residential development have clear effects on the surrounding environments, including those on habitat protection, water quality, transportation and congestion costs, and loss of public open space. Ecological subdivision designs (ESDs) are a means to mitigate some of the most negative effects of low-density dispersed land-use patterns, yet there is not widespread adoption of these alternative approaches to subdivision development. In this paper we attempt to improve understanding of how developers make decisions over development designs and what influences those decisions. Using an agent-based model of residential-housing and land markets, the effects of different developer-decision frameworks on development designs and land use are assessed. The importance of uncertainty in the outcome of new designs, such as ESDs, and the effect of that uncertainty on the cost of credit are possible explanations for the prevalence of conventional, low-density development types, and may be impeding adoption of ESDs.</t>
  </si>
  <si>
    <t>[Magliocca, Nicholas R.] Univ Maryland Baltimore Cty, Dept Geog &amp; Environm Syst, Baltimore, MD 21250 USA; [Brown, Daniel G.; Nassauer, Joan I.; Westbrook, S. Elizabeth] Univ Michigan, Sch Nat Resources &amp; Environm, Ann Arbor, MI 48109 USA; [McConnell, Virginia D.] Univ Maryland Baltimore Cty, Dept Econ, Baltimore, MD 21250 USA; [McConnell, Virginia D.] Resources Future Inc, Washington, DC USA</t>
  </si>
  <si>
    <t>Magliocca, NR (corresponding author), Univ Maryland Baltimore Cty, Dept Geog &amp; Environm Syst, Baltimore, MD 21250 USA.</t>
  </si>
  <si>
    <t>nmag1@umbc.edu; danbrown@umich.edu; mcconnell@rff.org; nassauer@umich.edu; tsuga.agua@gmail.com</t>
  </si>
  <si>
    <t>nassauer, joan/AAY-1599-2021; Brown, Dan/L-8089-2013</t>
  </si>
  <si>
    <t>Brown, Dan/0000-0001-6023-5950</t>
  </si>
  <si>
    <t>Direct For Biological Sciences [1052875] Funding Source: National Science Foundation; Directorate For Geosciences [0814542] Funding Source: National Science Foundation</t>
  </si>
  <si>
    <t>Direct For Biological Sciences(National Science Foundation (NSF)NSF - Directorate for Biological Sciences (BIO)); Directorate For Geosciences(National Science Foundation (NSF)NSF - Directorate for Geosciences (GEO))</t>
  </si>
  <si>
    <t>1472-3417</t>
  </si>
  <si>
    <t>10.1068/b130118p</t>
  </si>
  <si>
    <t>AS2EE</t>
  </si>
  <si>
    <t>WOS:000344091800010</t>
  </si>
  <si>
    <t>Adaptive management; Demand management; Drought management; Water resources sustainability; Complex adaptive systems</t>
  </si>
  <si>
    <t>AGENT-BASED MODEL; LAND-USE CHANGE; CLIMATE-CHANGE; RIVER-BASIN; IMPACTS; DENSITY; QUALITY; RUNOFF; SYSTEM; AREA</t>
  </si>
  <si>
    <t>New water resources management methodologies are needed to address increasing demands and future uncertainty for urban water resources. Adaptive water demand management strategies provide an approach to improve the efficiency of water system operations and meet water demands by adapting flexibility to increasing stresses, such as droughts. This study simulates adaptive water demand management through the development of a complex adaptive system modeling framework, which couples cellular automata modeling, agentbased modeling, and hydrologic modeling to simulate land-use change, consumer behaviors, management decisions, the rainfall-runoff process, and reservoir storage. The model is applied to simulate the effect of demand management strategies on reductions in municipal water demands and on the sustained storage in a surface water supply reservoir. Historic and projected climate change hydroclimatic time series are used to assess the effectiveness of domestic water restrictions, including outdoor watering restrictions, a rainwater harvesting rebate program, and a high-density land-use change policy. Strategies are adaptively implemented based on the amount of water storage available. The framework is applied to evaluate strategies for the Arlington, Texas, metropolitan area that historically suffers from severe droughts. The framework provides an approach to evaluate a combination of multiple strategies for effectively managing the increasing stresses caused by urbanization, population growth, and climate change. Results demonstrate that adaptive demand management strategies that respond to water shortages result in long-term per capita demand reductions. For climate projections that forecast severe water shortages, development density strategies are more effective than rainwater harvesting strategies, and a combination of strategies can reduce the need for interbasin transfers and maintain reservoir volumes. (C) 2015 American Society of Civil Engineers.</t>
  </si>
  <si>
    <t>[Giacomoni, M. H.] Univ Texas San Antonio, Dept Civil &amp; Environm Engn, UTSA Circle 1, San Antonio, TX 78249 USA; [Berglund, E. Z.] N Carolina State Univ, Dept Civil Construct &amp; Environm Engn, CB 7908, Raleigh, NC 27695 USA</t>
  </si>
  <si>
    <t>Giacomoni, MH (corresponding author), Univ Texas San Antonio, Dept Civil &amp; Environm Engn, UTSA Circle 1, San Antonio, TX 78249 USA.</t>
  </si>
  <si>
    <t>marcio.giacomoni@utsa.edu; emily_berglund@ncsu.edu</t>
  </si>
  <si>
    <t>National Science Foundation [ECC-0926893]; Office of Science, U.S. Department of Energy</t>
  </si>
  <si>
    <t>National Science Foundation(National Science Foundation (NSF)); Office of Science, U.S. Department of Energy(United States Department of Energy (DOE))</t>
  </si>
  <si>
    <t>This material is based on work supported by the National Science Foundation under the Grant Number ECC-0926893. Any opinions, findings, and conclusions or recommendations expressed in this material are those of the authors and do not necessarily reflect the views of the National Science Foundation. The authors express their thanks and appreciation to the City of Arlington and Tarrant Regional Water District for their help and sharing of valuable reports, data, and insights. We acknowledge the modeling groups, the Program for Climate Model Diagnosis and Intercomparison (PCMDI), and the WCRP'sWorking Group on Coupled Modelling (WGCM) for their roles in making available the WCRP CMIP3 multimodel dataset. Support of this dataset is provided by the Office of Science, U.S. Department of Energy.</t>
  </si>
  <si>
    <t>CT8TN</t>
  </si>
  <si>
    <t>Liu, WJ; Agusdinata, DB</t>
  </si>
  <si>
    <t>Liu, Wenjuan; Agusdinata, Datu B.</t>
  </si>
  <si>
    <t>EXTRACTIVE INDUSTRIES AND SOCIETY-AN INTERNATIONAL JOURNAL</t>
  </si>
  <si>
    <t>Lithium mining; Agent-based model; Socio-environmental impacts; Community resilience; Resource uncertainties</t>
  </si>
  <si>
    <t>GROUNDWATER; RESILIENCE; FUTURE; HYDRODYNAMICS; EXTRACTION; FLAT</t>
  </si>
  <si>
    <t>The global transition to low-carbon technologies has accelerated the extraction of lithium. Its associated implications on local socio-environmental systems, however, are often overlooked. This study develops an agent-based model, applied to the lithium extraction in Salar de Atacama, Chile to understand (1) how mining's brine pumping rates affect groundwater movements and (2) how changes in water resources affect social-stress dynamics under multiple projections of mining activities. The results show the groundwater declines significantly in the mining area with impacts spreading outwards to nearby communities. Communities near mining operations are most vulnerable to mining expansions, while more distant residents experience long-lasting impacts due to lower compensation and delayed groundwater recovery. We found the role of groundwater uncertainties in causing the mismatched evolution of environmental and social dynamics, thereby highlighting some governance challenges stemming from resource uncertainties. Our analysis also points to a possible striking increase in social stress resulting from the recent social overburden in the area, underlining the need of building community resilience. We discuss how improved resource governance, pathways to build community resilience, and alternative mining techniques to decouple water use can help industrial and regional decision-makers better manage the world's largest lithium production sites towards a sustainable future.</t>
  </si>
  <si>
    <t>[Liu, Wenjuan; Agusdinata, Datu B.] Arizona State Univ, Sch Sustainabil, 800 Cady Mall, Tempe, AZ 85287 USA</t>
  </si>
  <si>
    <t>Agusdinata, DB (corresponding author), Arizona State Univ, Sch Sustainabil, 800 Cady Mall, Tempe, AZ 85287 USA.</t>
  </si>
  <si>
    <t>bagusdin@asu.edu</t>
  </si>
  <si>
    <t>Liu, Wenjuan/0000-0003-2857-3102</t>
  </si>
  <si>
    <t>2214-790X</t>
  </si>
  <si>
    <t>2214-7918</t>
  </si>
  <si>
    <t>EXTRACT IND SOC</t>
  </si>
  <si>
    <t>Extr. Ind. Soc.</t>
  </si>
  <si>
    <t>TT6CR</t>
  </si>
  <si>
    <t>WOS:000680435200001</t>
  </si>
  <si>
    <t>DRACUNCULUS-MEDINENSIS; HOSTS; FISH</t>
  </si>
  <si>
    <t>The campaign to eradicate dracunculiasis (Guinea worm [GW] disease) and its causative pathogen Dracunculus medinensis (GW) in Chad is challenged by infections in domestic dogs, which far outnumber the dwindling number of human infections. We present an agent-based simulation that models transmission of GW between a shared water source and a large population of dogs. The simulation incorporates various potential factors driving the infections including external factors and two currently used interventions, namely, tethering and larvicide water treatments. By defining and estimating infectivity parameters and seasonality factors, we test the simulation model on scenarios where seasonal patterns of dog infections could be driven by the parasite's life cycle alone or with environmental factors (e.g., temperature and rainfall) that could also affect human or dog behaviors (e.g., fishing versus farming seasons). We show that the best-fitting model includes external factors in addition to the pathogen's life cycle. From the simulation, we estimate that the basic reproductive number, R-0, is approximately 2.0; our results also show that an infected dog can transmit the infection to 3.6 other dogs, on average, during the month of peak infectivity (April). The simulation results shed light on the transmission dynamics of GWs to dogs and lay the groundwork for reducing the number of infections and eventually interrupting transmission of GW.</t>
  </si>
  <si>
    <t>[Perini, Tyler; Keskinocak, Pinar; Li, Zihao; Swann, Julie] Georgia Inst Technol, 755 Ferst Dr NW, Atlanta, GA 30318 USA; [Ruiz-Tiben, Ernesto; Weiss, Adam] Carter Ctr, Atlanta, GA USA; [Swann, Julie] North Carolina State Univ, Raleigh, NC USA</t>
  </si>
  <si>
    <t>Perini, T (corresponding author), Georgia Inst Technol, 755 Ferst Dr NW, Atlanta, GA 30318 USA.</t>
  </si>
  <si>
    <t>perinita@gatech.edu; pinar@isye.gatech.edu; zihaogt@gmail.com; jlswann@ncsu.edu; jlswann@ncsu.edu; adam.weiss@cartercenter.org</t>
  </si>
  <si>
    <t>Perini, Tyler/0000-0002-8502-8111; Swann, Julie/0000-0003-2151-4396</t>
  </si>
  <si>
    <t>Carter Center; Harold R. and Mary Anne Nash Junior Faculty Endowment Fund</t>
  </si>
  <si>
    <t>This study was supported by a grant from the Carter Center. This research was also supported in part by the Harold R. and Mary Anne Nash Junior Faculty Endowment Fund and the following Georgia Tech benefactors: William W. George, Andrea Laliberte, Joseph C. Mello, Richard Rick E., and Charlene Zalesky.</t>
  </si>
  <si>
    <t>AMER SOC TROP MED &amp; HYGIENE</t>
  </si>
  <si>
    <t>MCLEAN</t>
  </si>
  <si>
    <t>8000 WESTPARK DR, STE 130, MCLEAN, VA 22101 USA</t>
  </si>
  <si>
    <t>AM J TROP MED HYG</t>
  </si>
  <si>
    <t>Am. J. Trop. Med. Hyg.</t>
  </si>
  <si>
    <t>OP9PM</t>
  </si>
  <si>
    <t>SELF-CONSUMPTION</t>
  </si>
  <si>
    <t>We present a framework and a model for the simulation of collective energy self-consumption strongly coupled to occupant activity in households. The model combines multi-agent simulation of human activity, a dynamic model of building energy including Domestic Hot Water (DHW) and all electrical appliances, and local generation of photovoltaic energy. A cooperative energy exchange policy between households was defined in order to maximise the use of locally generated PV electricity at the neighbourhood scale. In this first implementation, three households A, B and C were simulated, one being the PV energy producer. The DHW model was modified to benefit from PV electricity. Thanks to the energy exchange policy, a total of 83% of the energy generated by household A is used locally in the neighbourhood (compared to 38% when there are no energy exchanges with household B and C). The next step of this study is to add a model of energy storage in several self-consumption configurations.</t>
  </si>
  <si>
    <t>[Albouys-Perrois, Jeremy; Inard, Chrisitian] La Rochelle Univ, LaSIE, CNRS, La Rochelle, France; [Albouys-Perrois, Jeremy; Sabouret, Nicolas] Univ Paris Sud, Univ Paris Saclay, CNRS, LIMSI, Orsay, France; [Albouys-Perrois, Jeremy; Haradji, Yvon; Schumann, Mathieu] EDF R&amp;D, Palaiseau, France</t>
  </si>
  <si>
    <t>Albouys-Perrois, J (corresponding author), La Rochelle Univ, LaSIE, CNRS, La Rochelle, France.;Albouys-Perrois, J (corresponding author), Univ Paris Sud, Univ Paris Saclay, CNRS, LIMSI, Orsay, France.;Albouys-Perrois, J (corresponding author), EDF R&amp;D, Palaiseau, France.</t>
  </si>
  <si>
    <t>INT BUILDING PERFORMANCE SIMULATION ASSOC-IBPSA</t>
  </si>
  <si>
    <t>TORONTO</t>
  </si>
  <si>
    <t>C/O MILLER-THOMPSON, 40 KING ST W, STE 5800, TORONTO, M5H 3S1, CANADA</t>
  </si>
  <si>
    <t>BUILD SIMUL CONF PR</t>
  </si>
  <si>
    <t>Construction &amp; Building Technology; Operations Research &amp; Management Science</t>
  </si>
  <si>
    <t>BS3CE</t>
  </si>
  <si>
    <t>Green Submitted, Bronze</t>
  </si>
  <si>
    <t>Zidar, K; Bartrand, TA; Loomis, CH; McAfee, CA; Geldi, JM; Riggall, GJ; Montalto, F</t>
  </si>
  <si>
    <t>Zidar, Kate; Bartrand, Timothy A.; Loomis, Charles H.; McAfee, Chariss A.; Geldi, Juliet M.; Riggall, Gavin J.; Montalto, Franco</t>
  </si>
  <si>
    <t>Maximizing Green Infrastructure in a Philadelphia Neighborhood</t>
  </si>
  <si>
    <t>URBAN PLANNING</t>
  </si>
  <si>
    <t>agent-based modeling; green infrastructure; participatory modeling; stormwater; urban redevelopment</t>
  </si>
  <si>
    <t>SYSTEMS; MANAGEMENT; RESOURCES; FRAMEWORK; BEHAVIOR; MODEL</t>
  </si>
  <si>
    <t>While the Philadelphia Water Department (PWD) is counting on Green Stormwater Infrastructure (GI) as a key component of its long-term plan for reducing combined sewer overflows, many community stakeholders are also hoping that investment in greening can help meet other ancillary goals, collectively referred to as sustainable redevelopment. This study investigates the challenges associated with implementation of GI in Point Breeze, a residential neighborhood of South Philadelphia. The project team performed a detailed study of physical, social, legal, and economic conditions in the pilot neighborhood over the course of several years, culminating in the development of an agent-based model simulation of GI implementation. The model evaluates a) whether PWD's GI goals can be met in a timely manner, b) what kinds of assumptions regarding participation would be needed under different theoretical GI policies, and c) the extent to which GI could promote sustainable redevelopment. The model outcomes underscore the importance of private land in helping PWD achieve its GI goals in Point Breeze. Achieving a meaningful density of GI in the neighborhoods most in need of sustainable redevelopment may require new and creative strategies for GI implementation tailored for the types of land present in those particular communities.</t>
  </si>
  <si>
    <t>[Zidar, Kate; Montalto, Franco] Drexel Univ, Dept Civil Architectural &amp; Environm Engn, Philadelphia, PA 19104 USA; [Bartrand, Timothy A.] Corona Environm Consulting LLC, Rockland, MA 02370 USA; [Loomis, Charles H.; McAfee, Chariss A.] Charles Loomis Chariss McAfee Architects, Philadelphia, PA 19103 USA; [Geldi, Juliet M.; Riggall, Gavin J.] North St Design, Philadelphia, PA 19130 USA</t>
  </si>
  <si>
    <t>Montalto, F (corresponding author), Drexel Univ, Dept Civil Architectural &amp; Environm Engn, Philadelphia, PA 19104 USA.</t>
  </si>
  <si>
    <t>katezidar@gmail.com; tbartrand@coronaenv.com; CharlesL@LoomisMcafee.com; CharissM@LoomisMcafee.com; jgeldi@kssarchitects.com; gavinriggall@gmail.com; fam26@drexel.edu</t>
  </si>
  <si>
    <t>Zidar, Kate/0000-0003-0236-0432</t>
  </si>
  <si>
    <t>Community Conservation Partnerships Program, Keystone Recreation, Park and Conservation Fund, under the Pennsylvania Department of Conservation and Natural Resources, Bureau of Recreation and Conservation [BRC-TAG-13.3-220]; Philadelphia Water Department</t>
  </si>
  <si>
    <t>Community Conservation Partnerships Program, Keystone Recreation, Park and Conservation Fund, under the Pennsylvania Department of Conservation and Natural Resources, Bureau of Recreation and Conservation; Philadelphia Water Department</t>
  </si>
  <si>
    <t>This work was financed in part by a grant from the Community Conservation Partnerships Program, Keystone Recreation, Park and Conservation Fund, under the administration of the Pennsylvania Department of Conservation and Natural Resources, Bureau of Recreation and Conservation (BRC-TAG-13.3-220). Additional funds were provided by the Philadelphia Water Department.</t>
  </si>
  <si>
    <t>COGITATIO PRESS</t>
  </si>
  <si>
    <t>LISBON</t>
  </si>
  <si>
    <t>RUA FIALHO ALMEIDA 14, 2 ESQ, LISBON, 1070-129, PORTUGAL</t>
  </si>
  <si>
    <t>2183-7635</t>
  </si>
  <si>
    <t>URBAN PLAN</t>
  </si>
  <si>
    <t>Urban Plan.</t>
  </si>
  <si>
    <t>Urban Studies</t>
  </si>
  <si>
    <t>FS4JI</t>
  </si>
  <si>
    <t>WOS:000419756200009</t>
  </si>
  <si>
    <t>Agent-based modeling; Integrated modeling; Land use change; Multi-agent systems; Soil degradation</t>
  </si>
  <si>
    <t>UPLAND NORTHWEST VIETNAM; AGENT-BASED MODELS; LAND-USE; MULTIAGENT SYSTEMS; BIOECONOMIC MODEL; NORTHERN VIETNAM; POLICY-ANALYSIS; ORGANIC-MATTER; RESOURCE USE; SIMULATION</t>
  </si>
  <si>
    <t>Soil degradation is an environmental process mainly caused by land use decision-makers that has substantial feedback effects on livelihoods and the environment. To capture these feedback effects and the resulting human-environment interactions, we used an agent-based modeling approach to couple two software packages that simulate soil, water and plant dynamics (LUCIA), and farm decision-making (MP-MAS). We show that such a software coupling approach has advantages over hard-coded model integration as applied by most other comparable studies, as it facilitates combining of increasingly sophisticated individual models and can achieve a well-balanced representation of agricultural systems. Using a numerical application for a small mountainous watershed in northwest Vietnam we show the challenges in model coupling, calibration and partial validation, and explore the properties of the coupled model system. Scenario analysis covering the introduction of low-cost soil conservation techniques indicates that some of these techniques would have an impact on soil erosion, maize productivity and household income levels in the study catchment area under current conditions. However, maize yields and the adoption of soil conservation appear to be sensitive to the price of mineral fertilizers, with lower fertilizer prices impeding the adoption of soil conservation measures. The software coupling approach was able to capture interactions between decision-makers and natural resources, as well as the level of spatial variability, in more detail than the individual models. Still, the greater number of endogenous variables and thus degrees of freedom increased the importance of validation and testing parameter sensitivity of the results. (c) 2012 Elsevier Ltd. All rights reserved.</t>
  </si>
  <si>
    <t>[Marohn, Carsten; Thanh Thi Nguyen; Cadisch, Georg] Univ Hohenheim, Dept Plant Prod Trop &amp; Subtrop 380A, D-70593 Stuttgart, Germany; [Schreinemachers, Pepijn; Dang Viet Quang; Berger, Thomas; Siripalangkanont, Prakit] Univ Hohenheim, Dept Land Use Econ Trop &amp; Subtrop 490D, D-70593 Stuttgart, Germany</t>
  </si>
  <si>
    <t>Marohn, C (corresponding author), Univ Hohenheim, Dept Plant Prod Trop &amp; Subtrop 380A, D-70593 Stuttgart, Germany.</t>
  </si>
  <si>
    <t>carsten.marohn@uni-hohenheim.de</t>
  </si>
  <si>
    <t>Nguyen, Thanh Thi/0000-0003-1037-9731; Schreinemachers, Pepijn/0000-0003-1596-3179; Berger, Thomas/0000-0003-3316-9614</t>
  </si>
  <si>
    <t>Deutsche Forschungsgemeinschaft</t>
  </si>
  <si>
    <t>Deutsche Forschungsgemeinschaft(German Research Foundation (DFG))</t>
  </si>
  <si>
    <t>We gratefully acknowledge the Deutsche Forschungsgemeinschaft for funding project SFB-564. We would like to thank Gerhard Clemens, Petra Schmitter, Vu Dinh Tuan and Lena Rathjen for sharing their data with us. The paper benefitted from the constructive comments of Peter Verburg and two anonymous reviewers.</t>
  </si>
  <si>
    <t>168DH</t>
  </si>
  <si>
    <t>Surface water flooding; Risk; Insurance; Climate change; Adaptation</t>
  </si>
  <si>
    <t>IMPACT ASSESSMENT; BEHAVIOR; ENGLAND; WALES</t>
  </si>
  <si>
    <t>Climate change and increasing urbanization are projected to result in an increase in surface water flooding and consequential damages in the future. In this paper, we present insights from a novel Agent Based Model (ABM), applied to a London case study of surface water flood risk, designed to assess the interplay between different adaptation options; how risk reduction could be achieved by homeowners and government; and the role of flood insurance and the new flood insurance pool, Flood Re, in the context of climate change. The analysis highlights that while combined investment in property-level flood protection and sustainable urban drainage systems reduce surface water flood risk, the benefits can be outweighed by continued development in high risk areas and the effects of climate change. In our simulations, Flood Re is beneficial in its function to provide affordable insurance, even under climate change. However, the scheme does face increasing financial pressure due to rising surface water flood damages. If the intended transition to risk-based pricing is to take place then a determined and coordinated strategy will be needed to manage flood risk, which utilises insurance incentives, limits new development, and supports resilience measures. Our modelling approach and findings are highly relevant for the ongoing regulatory and political approval process for Flood Re as well as for wider discussions on the potential of insurance schemes to incentivise flood risk management and climate adaptation in the UK and internationally. (C) 2017 Elsevier B.V. All rights reserved.</t>
  </si>
  <si>
    <t>[Jenkins, K.; Hall, J.] Univ Oxford, Ctr Environm, Environm Change Inst, South Parks Rd, Oxford OX1 3QY, England; [Surminski, S.; Crick, F.] London Sch Econ &amp; Polit Sci, Grantham Res Inst Climate Change &amp; Environm, Floor 11,Tower 3, London WC2A 2AZ, England</t>
  </si>
  <si>
    <t>Jenkins, K (corresponding author), Univ Oxford, Ctr Environm, Environm Change Inst, South Parks Rd, Oxford OX1 3QY, England.</t>
  </si>
  <si>
    <t>katie.jenkins@eci.ox.ac.uk; s.surminski@lse.ac.uk; jim.hall@eci.ox.ac.uk; f.d.Crick@lse.ac.uk</t>
  </si>
  <si>
    <t>Hall, Jim W/0000-0002-2024-9191; Surminski, Swenja/0000-0003-1270-5545; Jenkins, Katie/0000-0002-6740-5139</t>
  </si>
  <si>
    <t>European Union [308438]; UK Economic and Social Research Council (ESRC) through the Centre for Climate Change Economics and Policy [ES/K006576/1]; ESRC [ES/K006576/1] Funding Source: UKRI; Economic and Social Research Council [ES/K006576/1] Funding Source: researchfish</t>
  </si>
  <si>
    <t>European Union(European Commission); UK Economic and Social Research Council (ESRC) through the Centre for Climate Change Economics and Policy(UK Research &amp; Innovation (UKRI)Economic &amp; Social Research Council (ESRC)); ESRC(UK Research &amp; Innovation (UKRI)Economic &amp; Social Research Council (ESRC)); Economic and Social Research Council(UK Research &amp; Innovation (UKRI)Economic &amp; Social Research Council (ESRC))</t>
  </si>
  <si>
    <t>This paper has benefited from research undertaken as part of the ENHANCE Project (Enhancing risk management partnerships for catastrophic natural hazards in Europe), funded under the Seventh Framework Programme of the European Union under grant agreement no. 308438.; The authors would also like to acknowledge the financial support of the UK Economic and Social Research Council (ESRC) through the Centre for Climate Change Economics and Policy (grant no. ES/K006576/1) as well as the use of the University of Oxford Advanced Research Computing (ARC) facility in carrying out this work (http://dx.doi.org/10.5281/zenodo.22558).</t>
  </si>
  <si>
    <t>EV2AZ</t>
  </si>
  <si>
    <t>Green Submitted, Green Accepted</t>
  </si>
  <si>
    <t>Municipal water demands in growing population centers in the arid southwest US are typically met through increased groundwater withdrawals. Hydro-climatic uncertainties attributed to climate change and land use conversions may also alter demands and impact the replenishment of groundwater supply. Groundwater aquifers are not necessarily confined within municipal and management boundaries, and multiple diverse agencies may manage a shared resource in a decentralized approach, based on individual concerns and resources. The interactions among water managers, consumers, and the environment influence the performance of local management strategies and regional groundwater resources. This research couples an agentbased modeling (ABM) framework and a groundwater model to analyze the effects of different management approaches on shared groundwater resources. The ABM captures the dynamic interactions between household-level consumers and policy makers to simulate water demands under climate change and population growth uncertainties. The groundwater model is used to analyze the relative effects of management approaches on reducing demands and replenishing groundwater resources. The framework is applied for municipalities located in the Verde River Basin, Arizona that withdraw groundwater from the Verde Formation-Basin Fill-Carbonate aquifer system. Insights gained through this simulation study can be used to guide groundwater policy-making under changing hydro-climatic scenarios for a long-term planning horizon.</t>
  </si>
  <si>
    <t>[Al-Amin, Shams; Berglund, Emily Z.; Mahinthakumar, Kumar] North Carolina State Univ, Dept Civil Construct &amp; Environm Engn, Raleigh, NC 27695 USA</t>
  </si>
  <si>
    <t>salamin@ncsu.edu; emily_berglund@ncsu.edu; gmkumar@ncsu.edu</t>
  </si>
  <si>
    <t>BH4BX</t>
  </si>
  <si>
    <t>Water distribution systems; Agent-based modeling; Energy; Sensitivity analysis</t>
  </si>
  <si>
    <t>MANAGEMENT; CONSUMPTION; REDUCTIONS; STRATEGIES; HOUSEHOLDS; DIFFUSION</t>
  </si>
  <si>
    <t>The results of a sensitivity analysis performed to examine the impact of uncertain parameters in an agent-based model (ABM) on the prediction of water use and energy use for pumping and water treatment in a distribution system are presented. The ABM was coupled with a water end-use model and the EPANET2 network solver to simulate word-of-mouth communication between water users and the adoption of water-efficient fixtures that lead to water use and energy savings in distribution systems. Three key ABM parameters (adoption probability, initial penetration rates, and connections per agent) were found to have an important impact on the adoption rate of low-flow fixtures. The parameter values were chosen from relevant literature and the sensitivity analyses determined that the adoption of four specific low-flow fixturestoilets, showers, washing machines and dishwasherswere estimated to have the potential to reduce water use (9%) and energy use (9%) for pumping and treatment within a mid-sized Canadian water distribution system. The work provides an innovative framework that simulates human interactions and evaluates how these interactions can affect water and, subsequently, energy use in distribution systems. (C) 2018 American Society of Civil Engineers.</t>
  </si>
  <si>
    <t>[Tourigny, Alexandre] JL Richards &amp; Associates Ltd, 864 Lady Ellen Pl, Ottawa, ON K1Z 5M2, Canada; [Filion, Y.] Queens Univ, Dept Civil Engn, 99 Univ Ave, Kingston, ON K7L 3N6, Canada</t>
  </si>
  <si>
    <t>Filion, Y (corresponding author), Queens Univ, Dept Civil Engn, 99 Univ Ave, Kingston, ON K7L 3N6, Canada.</t>
  </si>
  <si>
    <t>atourigny@jlrichards.ca; yves.filion@civil.queensu.ca</t>
  </si>
  <si>
    <t>HA6QU</t>
  </si>
  <si>
    <t>Governance; Multi-criteria; Agent-based model; Climate change; Water scarcity; Flooding; Protests; Multi-scale; Adaptation</t>
  </si>
  <si>
    <t>POLICY-MAKING; MEXICO-CITY; WATER; RESILIENCE; INVESTMENT; POLITICS; SYSTEMS</t>
  </si>
  <si>
    <t>Urban adaptation to climate change is likely to emerge from the responses of residents, authorities, and infrastructure providers to the impact of flooding, water scarcity, and other climate-related hazards. These responses are, in part, modulated by political relationships under cultural norms that dominate the institutional and collective decisions of public and private actors. The legacy of these decisions, which are often associated with investment in hard and soft infrastructure, has lasting consequences that influence current and future vulnerabilities. Making those decisions visible, and tractable is, therefore, an urgent research and political challenge in vulnerability assessments. In this work, we present a modeling framework to explore scenarios of institutional decision-making and socio-political processes and the resultant effects on spatial patterns of vulnerability. The approach entails using multi-criteria decision analysis, agent-based models, and geographic information simulation. The approach allows for the exploration of uncertainties, spatial patterns, thresholds, and the sensitivities of vulnerability outcomes to different policy scenarios. Here, we present the operationalization of the framework through an intentionally simplified model example of the governance of water in Mexico City. We discuss results from this example as part of a larger effort to empirically implement the framework to explore sociohydrological risk patterns and trade-offs of vulnerability in real urban landscapes.</t>
  </si>
  <si>
    <t>[Baeza, Andres; Janssen, Marco A.; Eakin, Hallie] Arizona State Univ, Sch Sustainabil, Tempe, AZ USA; [Bojorquez-Tapia, Luis A.] Univ Nacl Autonoma Mexico, Inst Ecol, Lab Nacl Ciencias Sostenibilidad LANCIS, Mexico City 04510, DF, Mexico; [Baeza, Andres] Arizona State Univ, Julie Ann Wrigley Global Inst Sustainabil, Tempe, AZ 85287 USA</t>
  </si>
  <si>
    <t>Baeza, A (corresponding author), Arizona State Univ, Julie Ann Wrigley Global Inst Sustainabil, Tempe, AZ 85287 USA.</t>
  </si>
  <si>
    <t>abaezaca@asu.edu</t>
  </si>
  <si>
    <t>National Science Foundation [1414052]; Inter-American Institute for Global Change Research [CRN3108]</t>
  </si>
  <si>
    <t>National Science Foundation(National Science Foundation (NSF)); Inter-American Institute for Global Change Research</t>
  </si>
  <si>
    <t>This work was supported by the National Science Foundation under Grant #1414052, CNH: The Dynamics of Multi -Scalar Adaptation in Megacities (PI: Hallie Eakin.). Inter-American Institute for Global Change Research under grant CRN3108, Coping with hydrological risk in megacities: Collaborative planning framework for the Mexico City Metropolitan Area (PI Luis A. Bojorquez-Tapia). Any results, errors, or interpretations presented in the manuscript are the responsibilities of the authors and not of the funding agency.</t>
  </si>
  <si>
    <t>IA9SE</t>
  </si>
  <si>
    <t>LAND-USE; ADAPTATION; FLOODPLAIN</t>
  </si>
  <si>
    <t>Floods are among the costliest natural hazards and their consequences are expected to increase further in the future due to urbanization in flood-prone areas. It is essential that policymakers understand the factors governing the dynamics of urbanization to adopt proper disaster risk reduction techniques. Peoples' relocation preferences and their perception of flood risk (collectively called human behavior) are among the most important factors that influence urbanization in flood-prone areas. Current studies focusing on flood risk assessment do not consider the effect of human behavior on urbanization and how it may change the nature of the risk. Moreover, flood mitigation policies are implemented without considering the role of human behavior and how the community will cope with measures such as buyout, land acquisition, and relocation that are often adopted to minimize development in flood-prone regions. Therefore, such policies may either be resisted by the community or result in severe socioeconomic consequences. In this study, we present a new Agent-Based Model (ABM) to investigate the complex interaction between human behavior and urbanization and its role in creating future communities vulnerable to flood events. We identify critical factors in the decisions of households to locate or relocate and adopt policies compatible with human behavior. The results show that when people are informed about the flood risk and proper incentives are provided, the demand for housing within 500-year floodplain may be reduced as much as 15% by 2040 for the case study considered. On the contrary, if people are not informed of the risk, 29% of the housing choices will reside in floodplains. The analyses also demonstrate that neighborhood quality-influenced by accessibility to highways, education facilities, the city center, water bodies, and green spaces, respectively-is the most influential factor in peoples' decisions on where to locate. These results provide new insights that may be used to assist city planners and stakeholders in examining tradeoffs between costs and benefits of future land development in achieving sustainable and resilient cities.</t>
  </si>
  <si>
    <t>[Hemmati, Mona] Columbia Univ, Lamont Doherty Geol Observ, Palisades, NY 10964 USA; [Hemmati, Mona; Mahmoud, Hussam N.; Ellingwood, Bruce R.] Colorado State Univ, Dept Civil &amp; Environm Engn, Ft Collins, CO 80523 USA; [Crooks, Andrew T.] Univ Buffalo, Dept Geog, Buffalo, NY USA</t>
  </si>
  <si>
    <t>Mahmoud, HN (corresponding author), Colorado State Univ, Dept Civil &amp; Environm Engn, Ft Collins, CO 80523 USA.</t>
  </si>
  <si>
    <t>Hussam.Mahmoud@colostate.edu</t>
  </si>
  <si>
    <t>National Science Foundation under CRISP Collaborative Research Grant [CMMI-1638284]; Center for Risk-Based Community Resilience Planning, a Center of Excellence (NIST) [70NANB15H044]</t>
  </si>
  <si>
    <t>National Science Foundation under CRISP Collaborative Research Grant; Center for Risk-Based Community Resilience Planning, a Center of Excellence (NIST)</t>
  </si>
  <si>
    <t>The research herein was funded, in part, by the Center for Risk-Based Community Resilience Planning, a Center of Excellence funded through a cooperative agreement between the U.S. National Institute of Science and Technology and Colorado State University (NIST Financial Assistance Award Number: 70NANB15H044). Partial support was also provided by the National Science Foundation under CRISP Collaborative Research Grant CMMI-1638284. This support is gratefully acknowledged. The authors would like to thank the professional staff of the City of Boulder and Boulder County, CO, for the information that they provided during the course of this study. The views expressed herein are those of the authors and may not represent the official position of the National Institute of Standards and Technology, the National Science Foundation, or the City of Boulder. The authors sincerely appreciate the reviewers and the editorial board member of the journal, Professor Ashraf Dewan, for all of their comments that allowed us to improve the manuscript.</t>
  </si>
  <si>
    <t>NATURE PORTFOLIO</t>
  </si>
  <si>
    <t>HEIDELBERGER PLATZ 3, BERLIN, 14197, GERMANY</t>
  </si>
  <si>
    <t>SCI REP-UK</t>
  </si>
  <si>
    <t>Sci Rep</t>
  </si>
  <si>
    <t>Multidisciplinary Sciences</t>
  </si>
  <si>
    <t>WF6EU</t>
  </si>
  <si>
    <t>Kiravu, C; Oladiran, MT; Yanev, K</t>
  </si>
  <si>
    <t>Kiravu, Cheddi; Oladiran, Moses T.; Yanev, Kamen</t>
  </si>
  <si>
    <t>Modeling of technology adoption in Botswana</t>
  </si>
  <si>
    <t>INTERNATIONAL JOURNAL OF ENERGY SECTOR MANAGEMENT</t>
  </si>
  <si>
    <t>Simulation; Modelling; Policy; Solar; Renewable energies; Technology management; Agent-based model modelling; Complex networks; Households</t>
  </si>
  <si>
    <t>Purpose - The conceptualisation of technology adoption has largely been based on the Bass or some Bass-derived model - notably, the logistic model. Logistic-type models offer limited insights regarding the adoption process dynamics or the utility value of their results. The purpose of this paper is to outline an alternative technology adoption framework based on complex adaptive networks. Design/methodology/approach - An agent-based methodological approach is proposed. In it the actors, factors, goals, and adaptive learning influences driving solar energy technology adoption (SETA) process are first substantiated by empirical evidence gathered using field questionnaires and then incorporated in the simulation of a dynamic complex adaptive network of SETA. The complex adaptive network model is based on simple heuristic rules applied using a modified preferential attachment scheme within a NetLogo simulation environment. Findings - The interim results suggest an emergent network where prominent hub driver agents underlining the robustness of the model are statistically discernible. Research limitations/implications - The research is limited to solar photovoltaic and solar water heating technology adoption in Botswana households; however, its results are far-reaching. Practical implications - These results can be related to sustainable energy policy design. There, targeted incentive mechanisms can be formulated against the backdrop of the identified environmental factors and actors; the aim being to accelerate and cascade SETA. Social implications - The results could also be cascaded to other sectors and other non-solar technologies, thus providing a general alternative framework for enabling the widespread adoption of technologies. Originality/value - This research therefore represents a novel way of utilizing the new science of networks to accelerate SETA.</t>
  </si>
  <si>
    <t>[Kiravu, Cheddi; Yanev, Kamen] Univ Botswana, Dept Elect Engn, Gaborone, Botswana; [Oladiran, Moses T.] Univ Botswana, Dept Mech Engn, Gaborone, Botswana</t>
  </si>
  <si>
    <t>Kiravu, C (corresponding author), Univ Botswana, Dept Elect Engn, Gaborone, Botswana.</t>
  </si>
  <si>
    <t>cheddi@brobemail.co.bw</t>
  </si>
  <si>
    <t>Yanev, Kamen/AAZ-8947-2020</t>
  </si>
  <si>
    <t>EMERALD GROUP PUBLISHING LTD</t>
  </si>
  <si>
    <t>BINGLEY</t>
  </si>
  <si>
    <t>HOWARD HOUSE, WAGON LANE, BINGLEY BD16 1WA, W YORKSHIRE, ENGLAND</t>
  </si>
  <si>
    <t>1750-6220</t>
  </si>
  <si>
    <t>1750-6239</t>
  </si>
  <si>
    <t>INT J ENERGY SECT MA</t>
  </si>
  <si>
    <t>Int. J. Energy Sect. Manag.</t>
  </si>
  <si>
    <t>10.1108/IJESM-02-2013-0004</t>
  </si>
  <si>
    <t>Management</t>
  </si>
  <si>
    <t>Business &amp; Economics</t>
  </si>
  <si>
    <t>V20LY</t>
  </si>
  <si>
    <t>WOS:000214889300004</t>
  </si>
  <si>
    <t>Lincoln Univ,HEMA Consulting Pty Ltd,Modelling and Simulat Soc Australia &amp; New Zealand (MSSANZ),Univ Canterbury,SGI,Lincoln Ventures Ltd,Hoare Res Software Ltd,IMACS,IEMSS,Environm Modelling &amp; Software,IBM</t>
  </si>
  <si>
    <t>agent-based simulation; socio-ecological systems; greenhouse gases; tax; incentives</t>
  </si>
  <si>
    <t>SOIL CARBON; GRASSLAND; LANDSCAPE</t>
  </si>
  <si>
    <t>Climate change is widely recognised as the most serious environmental threat facing our planet today, and a major challenge facing society is to find ways to decouple the link between economic activity and greenhouse gas (GHG) emissions. The agriculture, forestry and the land use sector is important in that not only is it a contributor to national economies, but it can act both as a source of GHG emissions as well as a carbon store, contributing in the order of about 20% of total GHG emissions, but removing about 16%. Various options for reducing the emissions of GHGs from the land use sector have been proposed, but several of these options involve a cost to the land manager, thus creating a 'social dilemma', in which individual interests of making a livelihood conflict with societal goals of reducing GHG emissions. Farmers, for example, may have to accept lower crop yields by reducing the amount of fertiliser they apply, or reducing the number of livestock they carry, so that emissions of N2O are minimised. If the societal goals are to be achieved, ways of reconciling these social dilemmas need to be found. Agent-based modelling (ABM) is an approach that has been receiving attention as a way of linking the biophysical and socio-economic components of a system to study such social dilemmas. Advantages of the approach include its ability to accommodate multiple scales of decision-making, to incorporate individual variation in decision-making at the micro-level, and to study the emergence of collective responses to environmental management policies. The People and Landscapes Model (PALM) is a combined agent-based/biophysical model operating at the level of a catchment, and consists of a number of household agents located on a landscape made up of heterogeneous land units, each of which contains routines to calculate its water balance and carbon and nitrogen dynamics. Decisions made by the household agents result in actions which may influence the fluxes of water, carbon and nitrogen within the landscape. In this paper, we describe some initial results from the model in which we examine ways in which GHG emissions might be reduced and the impact that this may have on farmer livelihoods. Preliminary results from the model show that GHG emissions can be reduced by economic instruments such as (a) imposition of a GHG tax, (b) providing incentives for low emitting land uses, and (c) a combination of the two. A GHG tax has the disadvantage of extracting money from the economy of the region so that average returns decline over time even though agents select low emitting land uses. An incentive scheme to reward agents selecting land uses that emit less GHGs is beneficial to the economy of the region with overall annual returns increasing over time, although this does require the influx of money from some external source. A combination of taxation and incentive, with revenue generated from taxing agents selecting land uses with GHG emissions above a threshold and distributing this to agents with land uses emitting below the threshold, would appear to be a 'cost-neutral' solution to reducing overall GHG emissions. We discuss some of the challenges facing the implementation of such schemes, including the setting of appropriate thresholds of GHG emissions, and measuring and monitoring of individual and aggregate behaviour of land managers. The transaction costs of these, particularly of the latter, along with technical issues, are factors that have so far prevented the operationalisation of such schemes. The hypothetical landscapes we used in this study are examples of 'socio-ecological systems' (SESs) containing social, economic and biophysical components interacting together. The distribution of land uses remaining at the end of the simulation for each scenario represent 'basins of attraction' for these SESs on a 'stability landscape' (Walker et al., 2004). In our case, the external imposition of emissions taxes and/or incentives seemed to shift the whole basin of attraction and the system along with it from the base line (i.e. with no tax or incentives) to another location on the stability landscape rather than moving the system from one basin into another neighbouring one, as proposed by Walker et al. (2004).</t>
  </si>
  <si>
    <t>r.matthews@macaulay.ac.uk</t>
  </si>
  <si>
    <t>Computer Science, Information Systems; Ecology; Environmental Sciences; Multidisciplinary Sciences</t>
  </si>
  <si>
    <t>Computer Science; Environmental Sciences &amp; Ecology; Science &amp; Technology - Other Topics</t>
  </si>
  <si>
    <t>BUQ25</t>
  </si>
  <si>
    <t>Aalto Univ,IEEE Power &amp; Energy Soc</t>
  </si>
  <si>
    <t>Renewable Energy Sources (RES) are ever more finding their way into today's power systems. They have many benefits, but hold challenges when it comes to operating the power system. Their intermittency defies the current prominent approach of keeping system balance; supply follows demand. Demand Response (DR) has been proposed numerous times to mitigate the challenges of RES. Additionally, Reinforcement Learning (RL) has been proposed numerous times to mitigate the scalability challenges of DR. Simultaneously, RL has been criticised for its data inefficiency. In an effort to tackle this problem, we showcase a transfer learning approach in a DR setting. The application consists of a household, equipped with inflexible load, a rooftop solar installation, an Electric Water Heater (EWH) and a battery. The household's electrical energy consumption is billed according to a Time-of-Use-pricing scheme. In this multi-agent DR application, two RL-agents, one for the EWH and one for the battery, have to efficiently operate the system. We show that in our scenario RL, combined with pre-training of the battery-agent, reduces operation cost by 28:5 %, compared to rule-based control.</t>
  </si>
  <si>
    <t>[Peirelinck, Thij S.; Deconinck, Geert] Katholieke Univ Leuven, ESAT Electa, Kasteelpk Arenberg 10 Bus 2445, B-3001 Leuven, Belgium; [Peirelinck, Thij S.; Hermans, Chris; Spiessens, Fred; Deconinck, Geert] EnergyVille, AMO, Thor Pk 8130, B-3600 Genk, Belgium; [Hermans, Chris; Spiessens, Fred] Flemish Inst Technol Res VITO, AMO, Boeretang 200, B-2400 Mol, Belgium</t>
  </si>
  <si>
    <t>Peirelinck, TS (corresponding author), Katholieke Univ Leuven, ESAT Electa, Kasteelpk Arenberg 10 Bus 2445, B-3001 Leuven, Belgium.;Peirelinck, TS (corresponding author), EnergyVille, AMO, Thor Pk 8130, B-3600 Genk, Belgium.</t>
  </si>
  <si>
    <t>Flemish Institute for Technological Research (VITO)</t>
  </si>
  <si>
    <t>This work was supported by the Flemish Institute for Technological Research (VITO).</t>
  </si>
  <si>
    <t>IEEE PES INNOV SMART</t>
  </si>
  <si>
    <t>Computer Science, Theory &amp; Methods; Green &amp; Sustainable Science &amp; Technology; Energy &amp; Fuels; Engineering, Electrical &amp; Electronic</t>
  </si>
  <si>
    <t>Computer Science; Science &amp; Technology - Other Topics; Energy &amp; Fuels; Engineering</t>
  </si>
  <si>
    <t>BS7PN</t>
  </si>
  <si>
    <t>agent-based models; households; soil fertility; integrated modelling; object-oriented</t>
  </si>
  <si>
    <t>SOIL ORGANIC-MATTER; NUTRIENT BALANCES; CROPPING SYSTEMS; FARMING SYSTEMS; MANAGEMENT; SUSTAINABILITY; PRODUCTIVITY; AGRICULTURE; PERFORMANCE; FERTILITY</t>
  </si>
  <si>
    <t>A model for simulating resource flows in a rural subsistence community is described. The People and Landscape Model (PALM) consists of a number of agents representing households, the landscape, and livestock. The landscape is made up of a number of homogeneous land units, or 'fields', each represented by an object containing data, methods and properties relevant to the field. Each field object consists of a number of soil layer objects, each of which contains routines to calculate its water balance and carbon and nitrogen dynamics. Organic matter decomposition is simulated by a version of the CENTURY model, while water and nitrogen dynamics are simulated by versions of the routines in the DSSAT crop models. The soil processes are simulated continuously, and vegetation types (crops, weeds, trees) can come and go in a field depending on its management. Crop growth and development are simulated by a generic model based on the DSSAT crop models, and which can be parameterised for different crops. Similarly, livestock growth and resource use is simulated by a generic model which can be parameterised for buffalo, cows, goats, sheep, chickens and pigs. Each household agent has stores of food, cash, fertiliser, fodder, seed, labour, manure, milk and meat, and also maintains dynamic lists of the patches and livestock units it has access to. Various types of household can be accommodated, ranging from resource-poor to resource-rich. Household agents can also communicate and exchange messages with one another and with the agents representing the landscape and livestock. Decision-making occurs on the basis of the internal state of each household agent and on its perception of the outside world gained from the information received during communication with other agents and the environment. Decisions result in activities being carried out by the household, which in turn influence the flows of water, carbon, nitrogen, labour, and finance-activities can be transactions, involving money, such as purchase of food, or actions, which do not include money, such as application of fertiliser to a field. The model uses object-oriented concepts with multiple instances of various sub-models being possible, so that, for example, different crop models (or even the same one) can be run simultaneously in different fields with different parameters (e.g. planting dates, etc.) for each instance. The advantages of using an agent-based approach as a way of integrating the biophysical and socio-economic characteristics of a system is discussed. The model was used to simulate a community of households each of which were allocated one of seven strategies of crop nutrient management, with these strategies competing with one another over the period of the simulation, during which soil fertility slowly declined. Unsuccessful strategies, determined by the returns generated in relation to an 'aspiration level', were replaced by more successful strategies. The impacts of agents requiring farmyard manure being allowed to purchase from agents with a surplus of manure was also investigated. (c) 2005 Elsevier B.V. All rights reserved.</t>
  </si>
  <si>
    <t>Macaulay Land Use Res Inst, Integrated Syst Grp, Aberdeen AB15 8QH, Scotland</t>
  </si>
  <si>
    <t>Matthews, R (corresponding author), Macaulay Land Use Res Inst, Integrated Syst Grp, Aberdeen AB15 8QH, Scotland.</t>
  </si>
  <si>
    <t>031GU</t>
  </si>
  <si>
    <t>SLEEPING-SICKNESS; TRYPANOSOMIASIS; EPIDEMIOLOGY; RESERVOIR; MOBILITY; NEEDS; RISK</t>
  </si>
  <si>
    <t>In this research, an agent-based model (ABM) was developed to generate human movement routes between homes and water resources in a rural setting, given commonly available geospatial datasets on population distribution, land cover and landscape resources. ABMs are an object-oriented computational approach to modelling a system, focusing on the interactions of autonomous agents, and aiming to assess the impact of these agents and their interactions on the system as a whole. An A* pathfinding algorithm was implemented to produce walking routes, given data on the terrain in the area. A* is an extension of Dijkstra's algorithm with an enhanced time performance through the use of heuristics. In this example, it was possible to impute daily activity movement patterns to the water resource for all villages in a 75 km long study transect across the Luangwa Valley, Zambia, and the simulated human movements were statistically similar to empirical observations on travel times to the water resource (Chi-squared, 95% confidence interval). This indicates that it is possible to produce realistic data regarding human movements without costly measurement as is commonly achieved, for example, through GPS, or retrospective or real-time diaries. The approach is transferable between different geographical locations, and the product can be useful in providing an insight into human movement patterns, and therefore has use in many human exposure-related applications, specifically epidemiological research in rural areas, where spatial heterogeneity in the disease landscape, and space-time proximity of individuals, can play a crucial role in disease spread.</t>
  </si>
  <si>
    <t>[Alderton, Simon; Noble, Jason] Univ Southampton, Sch Elect &amp; Comp Sci, Inst Complex Syst Simulat, Southampton, Hants, England; [Alderton, Simon] Univ Southampton, Geog &amp; Environm, Fac Social &amp; Human Sci, Southampton, Hants, England; [Schaten, Kathrin; Welburn, Susan C.] Univ Edinburgh, Coll Med &amp; Vet Med, Sch Biomed Sci, Div Pathway Med, Edinburgh, Midlothian, Scotland; [Schaten, Kathrin; Welburn, Susan C.] Univ Edinburgh, Coll Med &amp; Vet Med, Sch Biomed Sci, Ctr Infect Dis, Edinburgh, Midlothian, Scotland; [Atkinson, Peter M.] Univ Lancaster, Fac Sci &amp; Technol, Lancaster, England; [Atkinson, Peter M.] Univ Utrecht, Fac Geosci, NL-3584 CS Utrecht, Netherlands; [Atkinson, Peter M.] Queens Univ Belfast, Sch Geog Archaeol &amp; Palaeoecol, Belfast BT7 1NN, Antrim, North Ireland</t>
  </si>
  <si>
    <t>Alderton, S (corresponding author), Univ Southampton, Sch Elect &amp; Comp Sci, Inst Complex Syst Simulat, Southampton, Hants, England.</t>
  </si>
  <si>
    <t>simon.alderton@soton.ac.uk</t>
  </si>
  <si>
    <t>; Amblard, Frederic/B-9681-2009</t>
  </si>
  <si>
    <t>Atkinson, Peter/0000-0002-5489-6880; Amblard, Frederic/0000-0002-2653-0857; Alderton, Simon/0000-0001-5645-2338</t>
  </si>
  <si>
    <t>EPSRC [EP/G03690X/1]; NERC [NE-J001570-1]; Department for International Development (DFID); Economic and Social Research Council (ESRC); Natural Environment Research Council (NERC); Dynamic Drivers of Disease in Africa Consortium; Engineering and Physical Sciences Research Council [1095435] Funding Source: researchfish; Natural Environment Research Council [NE/J001422/1, NE/J000701/1, NE/J001570/1] Funding Source: researchfish; NERC [NE/J001570/1, NE/J000701/1, NE/J001422/1] Funding Source: UKRI</t>
  </si>
  <si>
    <t>EPSRC(UK Research &amp; Innovation (UKRI)Engineering &amp; Physical Sciences Research Council (EPSRC)); NERC(UK Research &amp; Innovation (UKRI)Natural Environment Research Council (NERC)); Department for International Development (DFID); Economic and Social Research Council (ESRC)(UK Research &amp; Innovation (UKRI)Economic &amp; Social Research Council (ESRC)); Natural Environment Research Council (NERC)(UK Research &amp; Innovation (UKRI)Natural Environment Research Council (NERC)); Dynamic Drivers of Disease in Africa Consortium; Engineering and Physical Sciences Research Council(UK Research &amp; Innovation (UKRI)Engineering &amp; Physical Sciences Research Council (EPSRC)); Natural Environment Research Council(UK Research &amp; Innovation (UKRI)Natural Environment Research Council (NERC)); NERC(UK Research &amp; Innovation (UKRI)Natural Environment Research Council (NERC))</t>
  </si>
  <si>
    <t>SA is supported by an EPSRC Doctoral Training Centre grant (EP/G03690X/1). PMA and SW are supported by, and the fieldwork in this investigation was carried out for, the Dynamic Drivers of Disease in Africa Consortium, NERC project no. NE-J001570-1, part of the Ecosystem Services for Poverty Alleviation (ESPA) programme. The ESPA programme is funded by the Department for International Development (DFID), the Economic and Social Research Council (ESRC) and the Natural Environment Research Council (NERC).</t>
  </si>
  <si>
    <t>PLoS One</t>
  </si>
  <si>
    <t>CS6GF</t>
  </si>
  <si>
    <t>adaptive agent; information entropy; simulation method; uncertainty; water resources</t>
  </si>
  <si>
    <t>SPATIOTEMPORAL CHANGES; INDEX</t>
  </si>
  <si>
    <t>Adaptive management is currently an important method to optimize the management of complex water resources systems. Regional water resources adaptive management was conducted based on the advanced theory of a complex system multi-agent model; the state of an agent was tracked and modified by information entropy theory, which was improved by using individual standard deviations. With the goal of optimizing the adaptation of each agent of the region, water resources in the major grain production area of China were managed under the constraints of the total annual available water resources and water use efficiency requirements for 2015 and 2030. By introducing the adaptive water resources management in 2015, the domestic benefits and economic benefits increased by 2.90% and 14.81%, respectively, with respect to observed values. The ecological benefits declined by 3.63%, but ecological water demand was fully satisfied, and the ecological water environment was improved. Given the water use efficiency targets in 2030, applying adaptive management resulted in an increase of domestic, economic, and ecological benefits of 34.29%, 21.14%, and 1.78%, respectively. The results show that the adaptive management method presented can help managers to balance the benefits of various agents to determine the direction of water resources management decisions.</t>
  </si>
  <si>
    <t>[Cheng, Kun; Pei, Wei] Northeast Agr Univ, Coll Sci, Harbin 150030, Heilongjiang, Peoples R China; [Wei, Shuai] Northeast Agr Univ, Coll Engn, Harbin 150030, Heilongjiang, Peoples R China; [Fu, Qiang; Li, Tianxiao] Northeast Agr Univ, Sch Water Conservancy &amp; Civil Engn, Harbin 150030, Heilongjiang, Peoples R China</t>
  </si>
  <si>
    <t>Fu, Q (corresponding author), Northeast Agr Univ, Sch Water Conservancy &amp; Civil Engn, Harbin 150030, Heilongjiang, Peoples R China.</t>
  </si>
  <si>
    <t>fuqiang0629@126.com</t>
  </si>
  <si>
    <t>Natural Science Foundation of Heilongjiang Province [E2017006]; National Natural Science Foundation of China [51609039]; China Postdoctoral Science Foundation [2016M601410]; Heilongjiang Province Postdoctoral Science Foundation [LBH-Z16025]; Key Laboratory of Efficient Use of Agricultural Water Resources, Ministry of Agriculture, P.R. China [2017008]</t>
  </si>
  <si>
    <t>Natural Science Foundation of Heilongjiang Province(Natural Science Foundation of Heilongjiang Province); National Natural Science Foundation of China(National Natural Science Foundation of China (NSFC)); China Postdoctoral Science Foundation(China Postdoctoral Science Foundation); Heilongjiang Province Postdoctoral Science Foundation(China Postdoctoral Science Foundation); Key Laboratory of Efficient Use of Agricultural Water Resources, Ministry of Agriculture, P.R. China</t>
  </si>
  <si>
    <t>This research was funded by the Natural Science Foundation of Heilongjiang Province (No. E2017006), the National Natural Science Foundation of China (No. 51609039), the China Postdoctoral Science Foundation (funded project No. 2016M601410), and the Heilongjiang Province Postdoctoral Science Foundation (funded project No. LBH-Z16025), Key Laboratory of Efficient Use of Agricultural Water Resources, Ministry of Agriculture, P.R. China (No. 2017008).</t>
  </si>
  <si>
    <t>J HYDROINFORM</t>
  </si>
  <si>
    <t>J. Hydroinform.</t>
  </si>
  <si>
    <t>Computer Science, Interdisciplinary Applications; Engineering, Civil; Environmental Sciences; Water Resources</t>
  </si>
  <si>
    <t>IH8XY</t>
  </si>
  <si>
    <t>INTEGRATED APPROACH; RISK-ASSESSMENT; HUMAN STABILITY; IMPACT; VULNERABILITY; CAPACITY; RIVER</t>
  </si>
  <si>
    <t>Urban flooding exposure is generally investigated with the assumption of stationary disasters and disaster-hit bodies during an event, and thus it cannot satisfy the increasingly elaborate modeling and management of urban floods. In this study, a comprehensive method was proposed to simulate dynamic exposure to urban flooding considering residents' travel behavior. First, a flood simulation was conducted using the LISFLOOD-FP model to predict the spatiotemporal distribution of flooding. Second, an agent-based model was used to simulate residents' movements during the urban flooding period. Finally, to study the evolution and patterns of urban flooding exposure, the exposure of population, roads, and buildings to urban flooding was simulated using Lishui, China, as a case study. The results showed that water depth was the major factor affecting total urban exposure in Lishui. Urban exposure to fluvial flooding was concentrated along the river, while exposure to pluvial flooding was dispersed throughout the area (independent from the river). Additionally, the population distribution on weekends was more variable than on weekdays and was more sensitive to floods. In addition, residents' response behavior (based on their subjective consciousness) may result in increased overall exposure. This study presents the first fully formulated method for dynamic urban flood exposure simulation at a high spatiotemporal resolution. The quantitative results of this study can provide fundamental information for urban flood disaster vulnerability assessment, socioeconomic loss assessment, urban disaster risk management, and emergency response plan establishment.</t>
  </si>
  <si>
    <t>[Zhu, Xuehong; Dai, Qiang; Zhang, Shuliang] Nanjing Normal Univ, Minist Educ, Key Lab VGE, Nanjing, Jiangsu, Peoples R China; [Dai, Qiang; Han, Dawei; Zhuo, Lu] Univ Bristol, Dept Civil Engn, WEMRC, Bristol, Avon, England; [Zhu, Shaonan] Nanjing Univ Posts &amp; Telecommun, Coll Geog &amp; Biol Informat, Nanjing, Jiangsu, Peoples R China; [Dai, Qiang] Jiangsu Ctr Collaborat Innovat Geog Informat Reso, Nanjing, Jiangsu, Peoples R China</t>
  </si>
  <si>
    <t>Dai, Q; Zhang, SL (corresponding author), Nanjing Normal Univ, Minist Educ, Key Lab VGE, Nanjing, Jiangsu, Peoples R China.;Dai, Q (corresponding author), Univ Bristol, Dept Civil Engn, WEMRC, Bristol, Avon, England.;Dai, Q (corresponding author), Jiangsu Ctr Collaborat Innovat Geog Informat Reso, Nanjing, Jiangsu, Peoples R China.</t>
  </si>
  <si>
    <t>qd_gis@163.com; zhangshuliang@njnu.edu.cn</t>
  </si>
  <si>
    <t>National Key R&amp;D Program of China [2018YFB0505500, 2018YFB0505502]; National Natural Science Foundation of China [41771424, 41871299, 41631175]; Newton Fund via Natural Environment Research Council (NERC); Economic and Social Research Council (ESRC) [NE/N012143/1]; NERC [NE/N012143/1] Funding Source: UKRI</t>
  </si>
  <si>
    <t>National Key R&amp;D Program of China; National Natural Science Foundation of China(National Natural Science Foundation of China (NSFC)); Newton Fund via Natural Environment Research Council (NERC); Economic and Social Research Council (ESRC)(UK Research &amp; Innovation (UKRI)Economic &amp; Social Research Council (ESRC)); NERC(UK Research &amp; Innovation (UKRI)Natural Environment Research Council (NERC))</t>
  </si>
  <si>
    <t>This research has been supported by the National Key R&amp;D Program of China (grant nos. 2018YFB0505500 and 2018YFB0505502), the National Natural Science Foundation of China (grant nos. 41771424, 41871299 and 41631175), and the Newton Fund via Natural Environment Research Council (NERC) and the Economic and Social Research Council (ESRC) (grant no. NE/N012143/1).</t>
  </si>
  <si>
    <t>COPERNICUS GESELLSCHAFT MBH</t>
  </si>
  <si>
    <t>GOTTINGEN</t>
  </si>
  <si>
    <t>BAHNHOFSALLEE 1E, GOTTINGEN, 37081, GERMANY</t>
  </si>
  <si>
    <t>HYDROL EARTH SYST SC</t>
  </si>
  <si>
    <t>Hydrol. Earth Syst. Sci.</t>
  </si>
  <si>
    <t>Geosciences, Multidisciplinary; Water Resources</t>
  </si>
  <si>
    <t>Geology; Water Resources</t>
  </si>
  <si>
    <t>IR8JK</t>
  </si>
  <si>
    <t>gold, Green Submitted, Green Accepted</t>
  </si>
  <si>
    <t>Assoc Comp Machinery,Int Fdn Autonomous Agents &amp; MultiAgent Syst,NSF,Artificial Intelligence Journal,Riken,Nissan,ACM SIGAI,Springer Sci + Business Media,Elsevier,Google,AIP, Ctr Adv Intelligent Project</t>
  </si>
  <si>
    <t>Multi-agent reinforcement learning; smart buildings</t>
  </si>
  <si>
    <t>Increasing energy efficiency in buildings can reduce costs and emissions substantially. Historically, this has been treated as a single agent optimization problem. However, many buildings utilize the same types of thermal equipment e.g. electric heaters and hot water vessels. During operation, occupants in these buildings interact with the equipment differently thereby accelerating state-space exploration. Reinforcement learning agents learn from these interactions, recorded as sensor data, to optimize the overall energy efficiency. However, if these agents operate at a household level, they can not exploit the replicated structure in the problem. In this paper, we demonstrate that multi-agent collaboration can improve control by exploring the state-space better. We also investigate trade-offs between integrating human knowledge and additional sensors. Results show that savings of over 40% are possible with collaborative multi-agent systems making use of either expert knowledge or additional sensors with no loss of occupant comfort. We find that such multi-agent systems outperform comparable single agent systems.</t>
  </si>
  <si>
    <t>[Kazmi, Hussain; Suykens, Johan; Driesen, Johan] Katholieke Univ Leuven, Leuven, Belgium; [Kazmi, Hussain] Enervalis, Leuven, Belgium</t>
  </si>
  <si>
    <t>Kazmi, H (corresponding author), Katholieke Univ Leuven, Leuven, Belgium.;Kazmi, H (corresponding author), Enervalis, Leuven, Belgium.</t>
  </si>
  <si>
    <t>Automation &amp; Control Systems; Computer Science, Artificial Intelligence; Engineering, Electrical &amp; Electronic; Robotics</t>
  </si>
  <si>
    <t>Automation &amp; Control Systems; Computer Science; Engineering; Robotics</t>
  </si>
  <si>
    <t>BM7OS</t>
  </si>
  <si>
    <t>Kabora, TK; Stump, D; Wainwright, J</t>
  </si>
  <si>
    <t>Kabora, T. K.; Stump, D.; Wainwright, J.</t>
  </si>
  <si>
    <t>JOURNAL OF ARCHAEOLOGICAL SCIENCE-REPORTS</t>
  </si>
  <si>
    <t>Sediment transport; Sediment traps; Agent-based model; Engaruka; Water-management system; Sediment accumulation rates</t>
  </si>
  <si>
    <t>NORTHERN TANZANIA; EAST-AFRICA; WATER; CATCHMENT; EROSION</t>
  </si>
  <si>
    <t>The 15th-18th century CE site of Engaruka in Tanzania is often described as primarily comprising drystone agricultural terraces, but it is now known that many of these former farming plots are not terraces per se, but are instead sediment traps. Stratigraphic excavations of these traps show that they were built by constructing low drystone walls adjacent to either natural or artificial water courses in order to capture fine alluvial sediments entrained within water flows. In the northern area of the site sediments were accumulated to a depth of up to 700 mm, while in one area in the south of the site over 2 m of deposits were accumulated over at least a 300 year period. The presence of sediment traps on archaeological sites allows investigations of the efficacy and sustainability of these structures over decadal to centennial timescales, since stratigraphic excavations can define the process of construction, and geoarchaeological analyses can explore changes within accumulated sediments over time. Although a combination of stratigraphy and absolute dating can discern the broad sequence and timing of sediment capture they cannot determine sediment-accumulation rates, and these techniques are too time consuming to be used to map the development of over 9 km(2) of sediment traps. The ESTTraP agent-based model provides these data by simulating sediment accumulation under different hydrological conditions. Four scenarios were simulated for a period of 100 years: constant water availability (SIM-01), seasonal variability (SIM-02), long-term climate variability (SIM- 03), and vegetation-cover impact (SIM-04). The model results suggest that the fields can be constructed over a short period of time, approximately 1-3 months per 6 x 6 m field, and that to construct a block of 90 fields covering 3,000 m 2 it would take between 8 and 13 years in periods of high water availability, and up to 27 years during prolonged dry periods. The results define the amount of time needed to construct individual fields, and suggest that farmers constructed blocks of fields concurrently rather than sequentially expanding across the landscape, and that the c. 10 km(2) area of sediment traps at Engaruka could have been constructed by a number of households working independently. The ESTTraP model presents an important resource in the assessment of sediment dynamics and patterns of field development, is relevant to a range of archaeological sites worldwide that include intentional or unintentional alluvial deposition, and has applications for modern landscape management.</t>
  </si>
  <si>
    <t>[Kabora, T. K.; Stump, D.] Univ York, Dept Archaeol, York YO1 7EP, N Yorkshire, England; [Wainwright, J.] Univ Durham, Dept Geog, South Rd, Durham DH1 3LE, England</t>
  </si>
  <si>
    <t>Kabora, TK (corresponding author), Univ York, Dept Archaeol, York YO1 7EP, N Yorkshire, England.</t>
  </si>
  <si>
    <t>T.K.Kabora@bradford.ac.uk</t>
  </si>
  <si>
    <t>Kabora, Tabitha/0000-0001-8504-3189</t>
  </si>
  <si>
    <t>European Research Council under the European Union [ERC-StG-2012-337128-AAREA]; British Institute in East Africa; Tanzanian Commission for Science and Technology; Antiquities Unit of the Ministry of Natural Resources and Tourism</t>
  </si>
  <si>
    <t>European Research Council under the European Union(European Research Council (ERC)); British Institute in East Africa; Tanzanian Commission for Science and Technology; Antiquities Unit of the Ministry of Natural Resources and Tourism</t>
  </si>
  <si>
    <t>The Archaeology of Agricultural Resilience in Eastern Africa (AAREA) project is funded by the European Research Council under the European Union's Seventh Framework Programme Starter Grant Scheme (FP/200702013/ERC); Grant Agreement No. ERC-StG-2012-337128-AAREA was awarded to D. Stump in February 2014. The research was also supported by funding awarded by the British Institute in East Africa to T.K. Kabora under the Thematic Research Grants 2015/2016. The research in Tanzania was carried out under a research permit issued by the Tanzanian Commission for Science and Technology and an excavation license issued by the Antiquities Unit of the Ministry of Natural Resources and Tourism. The help and support provided by both these agencies is gratefully acknowledged. The authors would like to thank the anonymous peer reviewers for their comments and critiques that helped improve this paper, and in particular the authors would like to thank Iza Romanowska for taking the time to review the model code.</t>
  </si>
  <si>
    <t>2352-409X</t>
  </si>
  <si>
    <t>J ARCHAEOL SCI-REP</t>
  </si>
  <si>
    <t>J. Archaeol. Sci.-Rep.</t>
  </si>
  <si>
    <t>Archaeology</t>
  </si>
  <si>
    <t>Arts &amp;amp; Humanities Citation Index (A&amp;amp;HCI)</t>
  </si>
  <si>
    <t>KY7YK</t>
  </si>
  <si>
    <t>WOS:000522788600072</t>
  </si>
  <si>
    <t>Oh, WS; Carmona-Cabrero, A; Munoz-Carpena, R; Muneepeerakul, R</t>
  </si>
  <si>
    <t>Oh, Woi Sok; Carmona-Cabrero, Alvaro; Munoz-Carpena, Rafael; Muneepeerakul, Rachata</t>
  </si>
  <si>
    <t>On the Interplay Among Multiple Factors: Effects of Factor Configuration in a Proof-of-Concept Migration Agent-Based Model</t>
  </si>
  <si>
    <t>Agent-Based Model; Human Migration; Factor Configuration; Decision-Making Process; Social Ties</t>
  </si>
  <si>
    <t>EARLY-WARNING SIGNALS; COUPLED HUMAN; CLIMATE; SYSTEMS</t>
  </si>
  <si>
    <t>Many researchers have addressed what factors should be included in their models of coupled natural-human systems (CNHSs). However, few studies have explored how these factors should be incorporated (factor configuration). Theoretical underpinning of the factor configuration may lead to a better understanding of systematic patterns and sustainable CNHS management. In particular, we ask: (1) can factor configuration explain CNHS behaviors based on its theoretical implications? and (2) when disturbed by shocks, do CNHSs respond differently under varying factor configurations? A proof-of-concept migration agent-based model (ABM) was developed and used as a platform to investigate the effects of factor configuration on system dynamics and outcomes. Here, two factors, social ties and water availability, were assumed to have alternative substitutable, complementary, or adaptable relationships in influencing migration decisions. We analyzed how populations are distributed over different regions along a water availability gradient and how regions are culturally mixed under different factor configurations. We also subjected the system to a shock scenario of dropping 50% of water availability in one region. We found that substitutability acted as a bu er against the effect of water deficiency and prevented cultural mixing of the population by keeping residents in their home regions and slowing down residential responses against the shock. Complementarity led to the sensitive migration behavior of residents, accelerating regional migration and cultural mixing. Adaptability caused residents to stay longer in new regions, which gradually led to a well-mixed cultural condition. All together, substitutability, complementarity, and adaptability gave rise to different emergent patterns. Our findings highlight the importance of how, not just what, factors are included in a CNHS ABM, a lesson that is particularly applicable to models of interdisciplinary problems where factors of diverse nature must be incorporated.</t>
  </si>
  <si>
    <t>[Oh, Woi Sok] Princeton Univ, High Meadows Environm Inst, Guyot Hall, Princeton, NJ 08544 USA; [Oh, Woi Sok] Princeton Univ, Dept Ecol &amp; Evolutionary Biol, 104a Guyot Hall, Princeton, NJ 08544 USA; [Oh, Woi Sok; Carmona-Cabrero, Alvaro; Munoz-Carpena, Rafael; Muneepeerakul, Rachata] Univ Florida, Dept Agr &amp; Biol Engn, 1741 Museum Rd, Gainesville, FL 32611 USA</t>
  </si>
  <si>
    <t>Muneepeerakul, R (corresponding author), Univ Florida, Dept Agr &amp; Biol Engn, 1741 Museum Rd, Gainesville, FL 32611 USA.</t>
  </si>
  <si>
    <t>rmuneepe@ufl.edu</t>
  </si>
  <si>
    <t>Munoz-Carpena, Rafael/A-7588-2010</t>
  </si>
  <si>
    <t>Munoz-Carpena, Rafael/0000-0003-2838-1514</t>
  </si>
  <si>
    <t>Army Research Oice/Army Research Laboratory [W911NF1810267]; Princeton University Dean for Research; High Meadows Environmental Institute; Andlinger Center for Energy and the Environment at Princeton University</t>
  </si>
  <si>
    <t>Army Research Oice/Army Research Laboratory; Princeton University Dean for Research; High Meadows Environmental Institute; Andlinger Center for Energy and the Environment at Princeton University</t>
  </si>
  <si>
    <t>The research reported herewas supported by the Army Research Oice/Army Research Laboratory under award #W911NF1810267 (Multidisciplinary University Research Initiative). The views and conclusions contained in this document are those of the authors and should not be interpreted as representing the o~icial policies either expressed or implied of the Army Research O~ice or the U.S. Government. Woi Sok Oh is also pleased to acknowledge the support of the Princeton University Dean for Research, High Meadows Environmental Institute, and Andlinger Center for Energy and the Environment at Princeton University.</t>
  </si>
  <si>
    <t>MAR 31</t>
  </si>
  <si>
    <t>10.18564/jasss.4793</t>
  </si>
  <si>
    <t>0J9WU</t>
  </si>
  <si>
    <t>WOS:000780449500002</t>
  </si>
  <si>
    <t>AGENT-BASED MODEL; OPEN SPACE; LAND-USE; SYSTEMS; PERFORMANCE; MANAGEMENT; VALUATION; FEATURES; LESSONS; DESIGN</t>
  </si>
  <si>
    <t>Low-impact development (LID) is an innovative stormwater management strategy that restores the predevelopment hydrology to prevent increased stormwater runoff from land development. Integrating LID into residential subdivisions and increasing population density by building more compact living spaces (e.g., apartment homes) can result in a more sustainable city by reducing stormwater runoff, saving infrastructural cost, increasing the number of affordable homes, and supporting public transportation. We develop an agent-based model (ABM) that describes the interactions between several decision-makers (i.e., local government, a developer, and homebuyers) and fiscal drivers (e.g., property taxes, impact fees). The model simulates the development of nine square miles of greenfield land. A more sustainable development (MSD) scenario introduces an impact fee that developers must pay if they choose not to use LID to build houses or apartment homes. Model simulations show homeowners selecting apartment homes 60% or 35% of the time after 30 years of development in MSD or business as usual (BAU) scenarios, respectively. The increased adoption of apartment homes results from the lower cost of using LID and improved quality of life for apartment homes relative to single-family homes. The MSD scenario generates more tax revenue and water savings than does BAU. A time-dependent global sensitivity analysis quantifies the importance of socioeconomic variables on the adoption rate of apartment homes. The top influential factors are the annual pay rates (or capital recovery factor) for single-family houses and apartment homes. The ABM can be used by city managers and policymakers for scenario exploration in accordance with local conditions to evaluate the effectiveness of impact fees and other policies in promoting LID and compact growth.</t>
  </si>
  <si>
    <t>[Lu, Zhongming; Crittenden, John; Jeong, Hyunju] Georgia Inst Technol, Sch Civil &amp; Environm Engn, Brook Byers Inst Sustainable Syst, Atlanta, GA 30332 USA; [Noonan, Douglas] Indiana Univ, Publ Policy Inst, Sch Publ &amp; Environm Affairs, Indianapolis, IN 46202 USA; [Wang, Dali] Oak Ridge Natl Lab, Div Environm Sci, Oak Ridge, TN 37831 USA; [Wang, Dali] Oak Ridge Natl Lab, Climate Change Sci Inst, Oak Ridge, TN 37831 USA</t>
  </si>
  <si>
    <t>Crittenden, J (corresponding author), Georgia Inst Technol, Sch Civil &amp; Environm Engn, Brook Byers Inst Sustainable Syst, Atlanta, GA 30332 USA.</t>
  </si>
  <si>
    <t>john.crittenden@ce.gatech.edu</t>
  </si>
  <si>
    <t>Noonan, Douglas/AAX-6942-2021; Lu, Zhongming/S-2757-2019; Lu, Zhongming/M-8292-2018</t>
  </si>
  <si>
    <t>Noonan, Douglas/0000-0003-4654-9077; Lu, Zhongming/0000-0002-4151-5065; Lu, Zhongming/0000-0002-4151-5065</t>
  </si>
  <si>
    <t>National Science Foundation for Resilient and Sustainable Infrastructures (RESIN); Brook Byers Institute for Sustainable Systems; Hightower Chair; Georgia Research Alliance</t>
  </si>
  <si>
    <t>Financial support from the National Science Foundation for Resilient and Sustainable Infrastructures (RESIN) is gratefully acknowledged. This work was also partially supported by Brook Byers Institute for Sustainable Systems, the Hightower Chair and Georgia Research Alliance. The authors wish to thank Kathryn Jonell, Arka Pandit, and Xuewei Yu, for help in revising the paper. Finally, we would like to thank all of the anonymous reviewers and their comments.</t>
  </si>
  <si>
    <t>295CT</t>
  </si>
  <si>
    <t>integrated modelling; agent-based simulation; socio-ecological systems</t>
  </si>
  <si>
    <t>INFORMATION-SYSTEMS; SIMULATIONS; ECOSYSTEMS; MANAGEMENT; EVOLUTION</t>
  </si>
  <si>
    <t>Spatially and temporally explicit simulation modelling of natural resource management systems provides a framework to draw together in a mathematically unambiguous manner a wealth of information, and, as such, allows rigorous testing of hypotheses of how such systems can be changed, without the time, expense and moral implications of altering a real system. In recent years, a large number of integrated assessment models linking the human and biophysical components of particular systems have been developed to address this need, but in many of these models the human dimension is based on economic cost-benefit principles that attempt to optimise use of resources such as capital or labour to maximise a particular output. Limitations to these approaches are that they are structured to represent an equilibrium when production has stabilised, they presuppose a 'goal' of the system, and do not adequately consider the micro-decisions being made by the various actors within it. Agent-based modelling (ABM) is an approach that has been receiving attention in recent years as a way of linking the biophysical and socioeconomic characteristics of a system, and which provides a way of addressing these limitations. ABM has aroused the interest of environmental modellers, mainly because it offers a way of incorporating the influence of human decision-making on the environment in a mechanistic and spatially explicit way, taking into account social interaction, adaptation, and multiple scales of decision-making. Several such models are now beginning to appear, many of which involve the grafting of an ABM representing a number of households onto a cellular automata 'landscape', with each agent being linked in some way to the cells over which it has influence. Apart from changes in actual land cover, however, these models generally treat the landscape as a relatively static entity, and do not simulate processes such as soil water and nutrient dynamics. The ones that do include such processes, do so somewhat simplistically. There is a need, therefore, to integrate dynamic biophysical simulation models with these emerging agent-based social simulation models. Different approaches to integrating such models are recognised - one such scheme refers to 'loosely-coupled', 'closely-coupled', and 'fully integrated' levels of integration. Loose-and closely-coupled models exchange driving variables between them, with closely-coupled models sharing common sub-processes, meaning that temporal and spatial scales may be determined by the original (sub-)models being coupled together. By contrast, in fully integrated models, these scales are dictated by the processes being simulated. It is our view that it is necessary to focus on the fully integrated level in developing models to adequately understand the behaviour of managed ecosystems. We discuss an agent architecture that allows agents to communicate regardless of the programming language used - each agent should have a translation module that translates incoming messages and triggers the appropriate internal response, and a conversation module which checks ingoing and outgoing messages, and manages communications between multiple agents. The overall system should be coordinated by manager and router agents to ensure the provision of global information and correct delivery of communications between agents, respectively. To link this to different sub-models of biophysical processes, a limited number of common properties of the sub-models are required: (a) each sub-model must have the ability to advance one time-step on request, (b) it should be able to save the states of all its variables at the end of each time-step on request, and be able to reload these later, also on request, (c) it must be able to respond to predefined message requests for information, and (d) the calculation of rates of change of its state variables must be separate from the updating of those state variables, with both operations being carried out on request. There is a danger that such models become too complex - it is suggested that the best way forward may be to take a simple framework as the starting point, and incorporate additional detail as necessary to describe the processes of interest.</t>
  </si>
  <si>
    <t>[Matthews, R. B.; Polhill, J. G.] Macaulay Land Use Res Inst, Aberdeen, Scotland</t>
  </si>
  <si>
    <t>Matthews, RB (corresponding author), Macaulay Land Use Res Inst, Aberdeen, Scotland.</t>
  </si>
  <si>
    <t>Arbab, NN; Collins, AR; Conley, JF</t>
  </si>
  <si>
    <t>Arbab, Nazia N.; Collins, Alan R.; Conley, Jamison F.</t>
  </si>
  <si>
    <t>Projections of Watershed Pollutant Loads Using a Spatially Explicit, Agent-Based Land Use Conversion Model: A Case Study of Berkeley County, West Virginia</t>
  </si>
  <si>
    <t>APPLIED SPATIAL ANALYSIS AND POLICY</t>
  </si>
  <si>
    <t>Spatially explicit land use; Agent-based; Watershed pollutants; ArcSWAT</t>
  </si>
  <si>
    <t>LOGISTIC-REGRESSION MODEL; CELLULAR-AUTOMATA; URBAN-GROWTH; USE PATTERNS; SAN-FRANCISCO; UNITED-STATES; QUALITY; COVER; GIS; SUSCEPTIBILITY</t>
  </si>
  <si>
    <t>This research presents a methodology to make projections of land use conversions in Berkeley County, West Virginia and then utilizes these projections to estimate water quality impacts on the Opequon Creek in Berkeley County. Empirical estimates for factors that influence the land use conversion probability are captured using parameters from a spatial logistic regression (SLR) model. Then, an agent-based, probabilistic land use conversion (APLUC) model is used to explore the impacts of policies on land use conversion decisions using estimates from actual land use change from 2001 to 2011 in SLR model. Three policy scenarios are developed: (1) no policy implementation, (2) a 15.24 m (50 ft) buffer zone policy of no development applied to all streams, and (3) 15.24 m buffer policy applied only on critical source area (CSA) watersheds. The projected land use patterns in the APLUC model are driven by individual land conversion decisions over 50 model runs of 10 iterations each under each policy scenario. The results show that with no policy scenario, most conversions occurred near existing residential land use and urban centers. Residential land use conversions are greatly reduced in a 15.24 m buffer policy around all streams in watershed. Spatial patterns generated under a 15.24 m buffer policy in CSAs only showed that future projected land use changes occurred close to major highways and shifted the residential development to the northern part of the Opequon Creek. Finally, the impacts of these three policies on water quality are estimated using an ArcSWAT model, a graphical user interface for SWAT (Soil and Water Assessment Tool). This model indicates that the 15.24 m buffer policy in CSAs is most effective among the three policies in reducing the pollutant loads. This study suggests that carefully designed policies which discourage residential land use conversions in CSAs, result in less pollutant loads by shifting the location of residential conversions to less critical areas where agricultural land is dominant in the watershed.</t>
  </si>
  <si>
    <t>[Arbab, Nazia N.] Rutgers State Univ, Ctr Resilient Landscapes, Sch Environm &amp; Biol Sci, Dept Ecol Evolut &amp; Nat Resources, Room 109,80 Nichol Ave, New Brunswick, NJ 08901 USA; [Collins, Alan R.] West Virginia Univ, Agr &amp; Resource Econ Program, Agr Sci Bldg Room 2026, Morgantown, WV 26506 USA; [Conley, Jamison F.] West Virginia Univ, Dept Geol &amp; Geog, 347 Brooks Hall,98 Beechurst Ave, Morgantown, WV 26506 USA</t>
  </si>
  <si>
    <t>Arbab, NN (corresponding author), Rutgers State Univ, Ctr Resilient Landscapes, Sch Environm &amp; Biol Sci, Dept Ecol Evolut &amp; Nat Resources, Room 109,80 Nichol Ave, New Brunswick, NJ 08901 USA.</t>
  </si>
  <si>
    <t>nazia.arbab@rutgers.edu; acollins@mail.wvu.edu; Jamison.Conley@mail.wvu.edu</t>
  </si>
  <si>
    <t>West Virginia Agriculture and Forestry Experiment Station project [WVA00636]</t>
  </si>
  <si>
    <t>West Virginia Agriculture and Forestry Experiment Station project</t>
  </si>
  <si>
    <t>This research was partially supported by the West Virginia Agriculture and Forestry Experiment Station project WVA00636. We would like to thank the late Mark G. Middleton who provided insight and assistance on property parcel data for this research. We will always be grateful for his invaluable expertise and guidance.</t>
  </si>
  <si>
    <t>1874-463X</t>
  </si>
  <si>
    <t>1874-4621</t>
  </si>
  <si>
    <t>APPL SPAT ANAL POLIC</t>
  </si>
  <si>
    <t>Appl. Spat. Anal. Policy</t>
  </si>
  <si>
    <t>10.1007/s12061-016-9197-z</t>
  </si>
  <si>
    <t>Environmental Studies; Geography; Regional &amp; Urban Planning</t>
  </si>
  <si>
    <t>Environmental Sciences &amp; Ecology; Geography; Public Administration</t>
  </si>
  <si>
    <t>FV0KR</t>
  </si>
  <si>
    <t>WOS:000424245000008</t>
  </si>
  <si>
    <t>Oki, T; Osaragi, T</t>
  </si>
  <si>
    <t>Oki, Takuya; Osaragi, Toshihiro</t>
  </si>
  <si>
    <t>Effects of Firefighting Activities Performed by Local Residents to Mitigate Fire Destruction Damage and Human Casualties in Large Earthquakes</t>
  </si>
  <si>
    <t>JOURNAL OF DISASTER RESEARCH</t>
  </si>
  <si>
    <t>large earthquake; local resident; fire-spread prevention activity; simulation; densely built-up wooden residential area</t>
  </si>
  <si>
    <t>Fire-spread prevention activities, which are performed by local residents in an early phase of fire, play an important role in reducing the destruction damage caused by fire in large earthquakes. However, few studies have focused on the fire-spread prevention activities that are carried out in the confused situation immediately following a large earthquake. Therefore, to date, there has been no sufficiently comprehensive discussion regarding the effectiveness of such activities. In this study, we estimate the possibility that local residents can prevent the spread of fire from the building of fire origin to an adjacent building by using equipment such as stand pipes. For this purpose, we utilize the agent-based simulator of property damage and human behavior at the time of a large earthquake that we developed in an earlier study. In addition, we demonstrate the effects of some measures for increasing the success rate of preventing fire-spread by comparing the simulation results under the following assumptions: (1) The percentage of streets blocked by the rubble of collapsed buildings is decreased, (2) the number of stand pipes is increased, and (3) the time before a fire spreads to an adjacent building is lengthened by planting trees between two buildings or the implementation of flame-retardation measures inside a building. Furthermore, on the basis of the simulation results, we discuss the requirements for successful fire-spread prevention activities by analyzing some factors (structure/area of buildings, time for fire-spread, time before spraying water, etc.) related to the activities.</t>
  </si>
  <si>
    <t>[Oki, Takuya; Osaragi, Toshihiro] Tokyo Inst Technol, Meguro Ku, 2-12-1-M1-25 O Okayama, Tokyo 1528550, Japan</t>
  </si>
  <si>
    <t>Oki, T (corresponding author), Tokyo Inst Technol, Meguro Ku, 2-12-1-M1-25 O Okayama, Tokyo 1528550, Japan.</t>
  </si>
  <si>
    <t>oki.t.ab@m.titech.ac.jp</t>
  </si>
  <si>
    <t>Osaragi, Toshihiro/B-9260-2015; Osaragi, Toshihiro/AAJ-1077-2020; Oki, Takuya/C-7076-2015</t>
  </si>
  <si>
    <t>Osaragi, Toshihiro/0000-0002-6327-3976; Osaragi, Toshihiro/0000-0002-6327-3976; Oki, Takuya/0000-0002-4848-0707</t>
  </si>
  <si>
    <t>Core Research for Evolutionary Science and Technology (CREST); Japan Science and Technology Agency (JST)</t>
  </si>
  <si>
    <t>Core Research for Evolutionary Science and Technology (CREST)(Core Research for Evolutional Science and Technology (CREST)); Japan Science and Technology Agency (JST)(Japan Science &amp; Technology Agency (JST))</t>
  </si>
  <si>
    <t>This article is a part of the study result supported by the Core Research for Evolutionary Science and Technology (CREST) and Japan Science and Technology Agency (JST). We also appreciate valuable comments from anonymous reviewers.</t>
  </si>
  <si>
    <t>FUJI TECHNOLOGY PRESS LTD</t>
  </si>
  <si>
    <t>TOKYO</t>
  </si>
  <si>
    <t>4F TORANOMON SANGYO BLDG, 2-29, TORANOMON 1-CHOME, MINATO-KU, TOKYO, 105-0001, JAPAN</t>
  </si>
  <si>
    <t>1881-2473</t>
  </si>
  <si>
    <t>1883-8030</t>
  </si>
  <si>
    <t>J DISASTER RES</t>
  </si>
  <si>
    <t>J. Disaster Res.</t>
  </si>
  <si>
    <t>10.20965/jdr.2018.p0272</t>
  </si>
  <si>
    <t>Geosciences, Multidisciplinary</t>
  </si>
  <si>
    <t>Geology</t>
  </si>
  <si>
    <t>GA1AP</t>
  </si>
  <si>
    <t>WOS:000428047400006</t>
  </si>
  <si>
    <t>Dubbelboer, J; Nikolic, I; Jenkins, K; Hall, J</t>
  </si>
  <si>
    <t>Dubbelboer, Jan; Nikolic, Igor; Jenkins, Katie; Hall, Jim</t>
  </si>
  <si>
    <t>An Agent-Based Model of Flood Risk and Insurance</t>
  </si>
  <si>
    <t>Flooding; London; Flood Insurance; Flood Re; Agent-Based Modelling</t>
  </si>
  <si>
    <t>BEHAVIOR; MANAGEMENT</t>
  </si>
  <si>
    <t>Flood risk emerges from the dynamic interaction between natural hazards and human vulnerability. Methods for the quantification of flood risk are well established, but tend to deal with human and economic vulnerability as being static or changing with an exogenously defined trend. In this paper we present an Agent-Based Model (ABM) developed to simulate the dynamical evolution of flood risk and vulnerability, and facilitate an investigation of insurance mechanism in London. The ABM has been developed to firstly allow an analysis of the vulnerability of homeowners to surface water flooding, which is one of the greatest short-term climate risks in the UK with estimated annual costs of 1.3bn pound to 2.2bn pound. These costs have been estimated to increase by 60-220% over the next 5 0 years due to climate change and urbanisation. Vulnerability is influenced by homeowner's decisions to move house and/or installmeasures to protect their properties from flooding. In particular, the ABM focuses on the role of flood insurance, simulating the current public-private partnership between the government and insurers in the UK, and the forthcoming re-insurance scheme Flood Re, designed as a roadmap to support the future affordability and availability of flood insurance. The ABM includes interaction between homeowners, sellers and buyers, an insurer, a local government and a developer. Detailed GIS and qualitative data of the London borough of Camden are used to represent an area at high risk of surface water flooding. The ABM highlights how future development can exacerbate current levels of surface water flood risk in Camden. Investment in flood protection measures are shown to be beneficial for reducing surface water flood risk. The Flood Re scheme is shown to achieve its aim of securing affordable flood insurance premiums, however, is placed under increasing pressure in the future as the risk of surface water flooding continues to increase.</t>
  </si>
  <si>
    <t>[Dubbelboer, Jan; Jenkins, Katie; Hall, Jim] Univ Oxford, Environm Change Inst, S Parks Rd, Oxford OX1 3QY, England; [Nikolic, Igor] Delft Univ Technol, Fac Technol Policy &amp; Management, POB 5015, NL-2600 GA Delft, Netherlands</t>
  </si>
  <si>
    <t>Jenkins, K (corresponding author), Univ Oxford, Environm Change Inst, S Parks Rd, Oxford OX1 3QY, England.</t>
  </si>
  <si>
    <t>katie.jenkins@eci.ox.ac.uk</t>
  </si>
  <si>
    <t>Nikolic, Igor/D-6080-2011; Hall, Jim W/ABF-1407-2020</t>
  </si>
  <si>
    <t>Hall, Jim W/0000-0002-2024-9191; Nikolic, Igor/0000-0002-6002-7083; Jenkins, Katie/0000-0002-6740-5139</t>
  </si>
  <si>
    <t>Seventh Framework Programme of the European Union [308438]</t>
  </si>
  <si>
    <t>Seventh Framework Programme of the European Union</t>
  </si>
  <si>
    <t>This paper has benefited from research undertaken as part of the ENHANCE Project (Enhancing risk management partnerships for catastrophic natural hazards in Europe), funded under the Seventh Framework Programme of the European Union under grant agreement No 308438. The authors are grateful for expert opinion and input to the model design provided by Dr Swenja Surminski and Dr Florence Crick of the Grantham Research Institute on Climate Change and the Environment, London School of Economics and Political Science. We are also very grateful to Prof. Clinton J. Andrews and Mr Handi Chandra-Putra who kindly shared their ABM code, allowing us to develop and expand our model in a timely manner. To gather large arrays of data from the agent based model two cluster computer systems were used. Initially the High Performance Computing (HPC) system at the Technical University of Delft was used. At a later stage the University of Oxford Advanced Research Computing (ARC) facility was used (http://dx.doi.org/10.5281/zenodo.22558).</t>
  </si>
  <si>
    <t>JAN 31</t>
  </si>
  <si>
    <t>10.18564/jasss.3135</t>
  </si>
  <si>
    <t>EP1TV</t>
  </si>
  <si>
    <t>Green Submitted, gold, Green Accepted, Green Published</t>
  </si>
  <si>
    <t>WOS:000397168100006</t>
  </si>
  <si>
    <t>urban flooding; ABM; SWMM; traffic congestion</t>
  </si>
  <si>
    <t>OVERLAND-FLOW; SIMULATION</t>
  </si>
  <si>
    <t>In many countries, industrialization has led to rapid urbanization. Increased frequency of urban flooding is one consequence of the expansion of urban areas which can seriously affect the productivity and livelihoods of urban residents. Therefore, it is of vital importance to study the effects of rainfall and urban flooding on traffic congestion and driver behavior. In this study, a comprehensive method to analyze the influence of urban flooding on traffic congestion was developed. First, a flood simulation was conducted to predict the spatiotemporal distribution of flooding based on Storm Water Management Model (SWMM) and TELAMAC-2D. Second, an agent-based model (ABM) was used to simulate driver behavior during a period of urban flooding, and a car-following model was established. Finally, in order to study the mechanisms behind how urban flooding affects traffic congestion, the impact of flooding on urban traffic was investigated based on a case study of the urban area of Lishui, China, covering an area of 4.4 km(2). It was found that for most events, two-hour rainfall has a certain impact on traffic congestion over a five-hour period, with the greatest impact during the hour following the cessation of the rain. Furthermore, the effects of rainfall with 10- and 20-year return periods were found to be similar and small, whereas the effects with a 50-year return period were obvious. Based on a combined analysis of hydrology and transportation, the proposed methods and conclusions could help to reduce traffic congestion during flood seasons, to facilitate early warning and risk management of urban flooding, and to assist users in making informed decisions regarding travel.</t>
  </si>
  <si>
    <t>[Zhu, Jingxuan; Dai, Qiang; Deng, Yinghui; Zhang, Aorui; Zhang, Yingzhe; Zhang, Shuliang] Nanjing Normal Univ, Key Lab VGE, Minist Educ, Nanjing 210023, Jiangsu, Peoples R China; [Dai, Qiang] Univ Bristol, Dept Civil Engn, Water &amp; Environm Management Res Ctr, Bristol BS8 1TR, Avon, England; [Dai, Qiang; Zhang, Shuliang] Jiangsu Ctr Collaborat Innovat Geog Informat Reso, Nanjing 210023, Jiangsu, Peoples R China</t>
  </si>
  <si>
    <t>Dai, Q; Zhang, SL (corresponding author), Nanjing Normal Univ, Key Lab VGE, Minist Educ, Nanjing 210023, Jiangsu, Peoples R China.;Dai, Q (corresponding author), Univ Bristol, Dept Civil Engn, Water &amp; Environm Management Res Ctr, Bristol BS8 1TR, Avon, England.;Dai, Q; Zhang, SL (corresponding author), Jiangsu Ctr Collaborat Innovat Geog Informat Reso, Nanjing 210023, Jiangsu, Peoples R China.</t>
  </si>
  <si>
    <t>catar1213@foxmail.com; q.dai@bristol.ac.uk; daicy1210@foxmail.com; aorui0503@163.com; oct1997@foxmail.com; zhangshuliang@njnu.edu.cn</t>
  </si>
  <si>
    <t>Zhu, Jingxuan/0000-0003-1559-3892; Yang, Qiqi/0000-0002-2938-1586</t>
  </si>
  <si>
    <t>National Natural Science Foundation of China [41501429, 41771431]; Top-notch Academic Programs Project of Jiangsu Higher Education Institutions (TAPP); University Natural Science Project of Jiangsu Province [16KJA170001]</t>
  </si>
  <si>
    <t>National Natural Science Foundation of China(National Natural Science Foundation of China (NSFC)); Top-notch Academic Programs Project of Jiangsu Higher Education Institutions (TAPP); University Natural Science Project of Jiangsu Province</t>
  </si>
  <si>
    <t>This work was supported by the National Natural Science Foundation of China (Grant Nos. 41501429, 41771431), the Top-notch Academic Programs Project of Jiangsu Higher Education Institutions (TAPP), and the University Natural Science Project of Jiangsu Province (Grant No. 16KJA170001).</t>
  </si>
  <si>
    <t>GJ3LO</t>
  </si>
  <si>
    <t>cultural algorithms; human social systems; social networks; reputation; hunting; multi-agent modeling</t>
  </si>
  <si>
    <t>The Village multi-agent simulation relives the years of early Pueblo Indian settlers from A.D. 600 to 1300. The objective is to investigate why these settlers abandoned the region. Initial work modeled environmental aspects, such as water and paleoproductivity data, and fanning practices of the households or agents. A cultural algorithm is then implemented to model the social networks and learning of exchange practices that evolved across these networks. Kinship, economic and community networks emerged. In this study we introduce protein resources from simulated deer, hares and rabbits. Next we enable the agents to hunt for these resources in order to survive. Furthermore, agents who cannot acquire sufficient resources from hunting may invoke their social networks and learn to exchange needed resources. As a result, protein resources presented a stress on the population that may motivate them to exit the region in search of better hunting grounds.</t>
  </si>
  <si>
    <t>Univ Windsor, Sch Comp Sci, Windsor, ON, Canada</t>
  </si>
  <si>
    <t>Kobti, Z (corresponding author), Univ Windsor, Sch Comp Sci, Windsor, ON, Canada.</t>
  </si>
  <si>
    <t>kobti@uwindsor.ca; reynolds@cs.wayne.edu</t>
  </si>
  <si>
    <t>IEEE SYS MAN CYBERN</t>
  </si>
  <si>
    <t>Computer Science, Artificial Intelligence; Computer Science, Cybernetics</t>
  </si>
  <si>
    <t>BDT16</t>
  </si>
  <si>
    <t>Climate change; Land use change; Loosely Coupled Systems; Soil and Water Assessment Tool; Transition potential model; Agent-based model; Representative concentration pathways; Hydrologic cycle; Sediment load; Climate resiliency</t>
  </si>
  <si>
    <t>CHANGE MODEL VALIDATION; USE/LAND COVER CHANGE; RIVER-BASIN; HYDROLOGICAL PROCESSES; LOGISTIC-REGRESSION; CELLULAR-AUTOMATA; INCREASED CO2; QUALITY; STREAMFLOW; SUSCEPTIBILITY</t>
  </si>
  <si>
    <t>Climate and land use change are the two primary factors that affect different components of hydrological cycle as well as sediment transport in the watershed. Quantifying potential impact of these two stressors enables decision makers to formulate better water resource management strategies to adapt to the changing environment. To that end, we have developed an integrated modeling framework employing an Agent-based approach to simulate land use conversion that then serves as input to the Soil and Water Assessment tool (SWAT) in a loosely coupled fashion. The modeling framework was tested on the Neshanic River Watershed (NRW), 142 km(2) area in central New Jersey that contains mix of urban, agricultural and forested lands. An ensemble of 10 different global climate models (GCMs) for two different greenhouse gas emission scenarios including representative concentration pathways-4.5 and 8.5 (RCP-4.5 and 8.5) were employed to model future climate from 2020 to 2045. Land use conversion for 2040 was developed based on six driving factors including distance to residential lands, agricultural lands, roads, streams, train stations, and forest using three land use transition potential models and further, the best transition potential model accompanied with some local land use restrictions. The study evaluated various components of hydrological cycle and sediment transport for the three different scenarios one-at-a-time including climate change alone, land use change alone, and combined climate and land use change. Results indicate that the changing climate will have a larger effect on the hydrologic cycle than intensifying urban land uses in the study watershed. The climate change scenarios, either alone or in composite with land use change, predict higher streamflow (32% and 36% increase over baseline, respectively), overriding the effect of land use change which predicts a decline of 5% in streamflow. The increase in streamflow results in an increase in sediment loading, presumably due to an increase stream downcutting. Conversely, the effect of land use change (in this case the conversion of agricultural land to low density residential uses), is predicted to decrease sediment load. When modelled in composite, the effect of changing land use (in this case the conversion of erodible agricultural fields to suburban development) appears to override the adverse effect of climate change, enhancing watershed resiliency by reducing sediment load and thereby improving health of the downstream aquatic ecosystems.</t>
  </si>
  <si>
    <t>[Giri, Subhasis; Arbab, Nazia N.; Lathrop, Richard G.] Rutgers State Univ, Sch Environm &amp; Biol Sci, Dept Ecol Evolut &amp; Nat Resources, New Brunswick, NJ 08901 USA</t>
  </si>
  <si>
    <t>Giri, S (corresponding author), Rutgers State Univ, Sch Environm &amp; Biol Sci, Dept Ecol Evolut &amp; Nat Resources, New Brunswick, NJ 08901 USA.</t>
  </si>
  <si>
    <t>subhasis.giri@rutgers.edu</t>
  </si>
  <si>
    <t>Johnson Family Chair in Water Resources &amp; Watershed Ecology and the Sustainable Raritan River Initiative at Rutgers University</t>
  </si>
  <si>
    <t>The research was supported by the Johnson Family Chair in Water Resources &amp; Watershed Ecology and the Sustainable Raritan River Initiative at Rutgers University. We gratefully acknowledge the World Climate Research Programme's Working Group on Coupled Modeling, and we also gratefully thank the Climate Modeling Groups listed in Table S1 for producing and making available their model out. For CMIP the U.S. Department of Energy's Program for Cli-mate Model Diagnosis and Intercomparison provides coordinating support and led development of software infrastructure in partnership with the Global Organization for Earth System Science Portals. Additionally, we would like to thank Mr. Srinivas Gaddam for helping in making some figures for this manuscript.</t>
  </si>
  <si>
    <t>JB1ET</t>
  </si>
  <si>
    <t>This paper proposes a multi-agent model and strategy for aggregator-based residential demand response, and details how elements in the system interact to solve an issue requiring load to be temporarily decreased. The system uses assets such as plug-in hybrid electric vehicles, air conditioning units, and electric water heaters to achieve this goal. Simulation results, based on probabilistic models and run on bus 5 of the RBTS test system, show that the system is capable of meeting the design objectives by shifting or shedding load so that the aggregate load remains under a given threshold. Results at the customer level also show that the impact on the comfort of customers is limited.</t>
  </si>
  <si>
    <t>[Roche, Robin; Miraoui, Abdellatif] Univ Technol Belfort Montbeliard, IRTES SET, F-90010 Belfort, France; [Suryanarayanan, Siddharth; Hansen, Timothy M.] Colorado State Univ, Ft Collins, CO 80523 USA; [Kiliccote, Sila] Lawrence Berkeley Natl Lab, Berkeley, CA 94720 USA</t>
  </si>
  <si>
    <t>Roche, R (corresponding author), Univ Technol Belfort Montbeliard, IRTES SET, F-90010 Belfort, France.</t>
  </si>
  <si>
    <t>robin.roche@utbm.fr</t>
  </si>
  <si>
    <t>Engineering, Electrical &amp; Electronic</t>
  </si>
  <si>
    <t>BF3IQ</t>
  </si>
  <si>
    <t>Global Water Syst Project,UNESCO,German Fed Minist Educ &amp; Res,Govt N Rhine Westphalia,City Bonn,INWENT</t>
  </si>
  <si>
    <t>PRINCIPLES; SIMULATION</t>
  </si>
  <si>
    <t>Due to the hydrological and socio-economic complexity of water use. within river basins and even sub-basins, it is a considerable challenge to manage water resources in an efficient, equitable and sustainable way. This paper shows that multi-agent simulation (MAS) is a promising approach to better understand the complexity of water uses and water users within sub-basins. This approach is especially suitable to take the collective action into account when simulating the outcome of technical innovation and policy change. A case study from Chile is used as an example to demonstrate the potential of the MAS framework. Chile has played a pioneering role in water policy reform by privatizing water rights and promoting trade in such rights, devolving irrigation management authority to user groups, and privatizing the provision of irrigation infrastructure. The paper describes the different components of a MAS model developed for four micro-watersheds in the Maule river basin. Preliminary results of simulation experiments are presented, which show the impacts of technical change and of informal rental markets on household income and water use efficiency. The paper also discusses how the collective action problems in water markets and in small-scale and large-scale infrastructure provision can be captured by the MAS model. To promote the use of the MAS approach for planning purposes, a collaborative research and learning framework has been established, with a recently created multi -stakeholder platform at the regional level (Comision Regional de Recursos Hidricos) as the major partner. Finally, the paper discusses the potentials of using MAS models for water resources management, such as increasing transparency as an aspect of good governance. The challenges, for example the need to build trust in the model, are discussed as well.</t>
  </si>
  <si>
    <t>[Berger, Thomas] Univ Hohenheim, D-70593 Stuttgart, Germany; [Birner, Regina; McCarthy, Nancy] Int Food Policy Res Inst, Stuttgart, Germany; [Diaz, Jose] Univ Talca, Tallinn, Estonia; [Wittmer, Heidi] Ctr Environm Res, Leipzig, Germany</t>
  </si>
  <si>
    <t>Berger, T (corresponding author), Univ Hohenheim, D-70593 Stuttgart, Germany.</t>
  </si>
  <si>
    <t>490e@uni-hohenheim.de</t>
  </si>
  <si>
    <t>CEIAR Challenge Program on Water and Food and of the Robert Bosch Foundation</t>
  </si>
  <si>
    <t>Funding of the CEIAR Challenge Program on Water and Food and of the Robert Bosch Foundation is gratefully acknowledged.</t>
  </si>
  <si>
    <t>PO BOX 17, 3300 AA DORDRECHT, NETHERLANDS</t>
  </si>
  <si>
    <t>BGC64</t>
  </si>
  <si>
    <t>multi-agent based model; agricultural household; decision-making; rural policy; environmental management</t>
  </si>
  <si>
    <t>COMPLEX ADAPTIVE SYSTEMS; NITROGEN BUDGETS; EMISSIONS; IMPACTS</t>
  </si>
  <si>
    <t>We analyzed the socioeconomic and environmental changes in rural China from the perspective of agricultural households and developed a multi-agent agricultural household model for rural environmental management (MAREM). The MAREM model consists of four submodules: the agricultural household production module, the consumption module, the labor supply module, and the environmental assessment module. In the model, virtual agricultural households exist in a hypothetical village. Farmers follow a self-adaptive approach to learn and understand policy variations, in order to make relevant decisions. The model has been validated through simulation of actual trends (the based-on-reality scenario). On the basis of this scenario, we further analyzed possible future trends in rural environmental pollution in China. Our results reflect that China may enter a period of farmer income stagnation accompanied by a rapid deterioration in rural environmental quality. Ammonia emission from livestock production may become the primary agricultural source of air pollution, and eutrophication is calculated to be the major water pollution issue for the long term. Synthetic fertilizer application is projected to be the dominant source of total nitrogen (N) and phosphorus (P) in aquatic system (contributing to about 64% and 46% of the total discharge, respectively). Our study shows that MAREM is an effective tool to analyze the interactions between agricultural households' behavior and environmental consequences under specific policies in China.</t>
  </si>
  <si>
    <t>[Yang, Shunshun] Hunan Acad Social Sci, Changsha, Hunan, Peoples R China; [Qu, Hongjuan; Luan, Shengji] Peking Univ, Sch Environm &amp; Energy, Key Lab Urban Habitat Environm Sci &amp; Technol, Shenzhen, Peoples R China; [Kroeze, Carolien] Wageningen Univ, Environm Syst Anal Grp, NL-6700 AP Wageningen, Netherlands</t>
  </si>
  <si>
    <t>Luan, SJ (corresponding author), Peking Univ, Sch Environm &amp; Energy, Key Lab Urban Habitat Environm Sci &amp; Technol, Shenzhen, Peoples R China.</t>
  </si>
  <si>
    <t>luansj@pkusz.edu.cn</t>
  </si>
  <si>
    <t>J INTEGR ENVIRON SCI</t>
  </si>
  <si>
    <t>J. Integr. Environ. Sci.</t>
  </si>
  <si>
    <t>AE7EB</t>
  </si>
  <si>
    <t>multi-agent systems; simulation models; integrated water resources management; collective action; trade of water rights; innovations; Chile</t>
  </si>
  <si>
    <t>Due to the hydrological and socio-economic complexity of water use within river basins and even sub-basins, it is a considerable challenge to manage water resources in an efficient, equitable and sustainable way. This paper shows that multi-agent simulation (MAS) is a promising approach to better understand the complexity of water uses and water users within sub-basins. This approach is especially suitable to take the collective action into account when simulating the outcome of technical innovation and policy change. A case study from Chile is used as an example to demonstrate the potential of the MAS framework. Chile has played a pioneering role in water policy reform by privatizing water rights and promoting trade in such rights, devolving irrigation management authority to user groups, and privatizing the provision of irrigation infrastructure. The paper describes the different components of a MAS model developed for four micro-watersheds in the Maule river basin. Preliminary results of simulation experiments are presented, which show the impacts of technical change and of informal rental markets on household income and water use efficiency. The paper also discusses how the collective action problems in water markets and in small-scale and large-scale infrastructure provision can be captured by the MAS model. To promote the use of the MAS approach for planning purposes, a collaborative research and learning framework has been established, with a recently created multi-stakeholder platform at the regional level (Comision Regional de Recursos Hidricos) as the major partner. Finally, the paper discusses the potentials of using MAS models for water resources management, such as increasing transparency as an aspect of good governance. The challenges, for example the need to build trust in the model, are discussed as well.</t>
  </si>
  <si>
    <t>Univ Hohenheim, D-70593 Stuttgart, Germany; Int Food Policy Res Inst, Washington, DC 20036 USA; Univ Talca, Talca, Chile; UFZ Helmholtz Ctr Environm Res, Leipzig, Germany</t>
  </si>
  <si>
    <t>121FB</t>
  </si>
  <si>
    <t>van Leeuwen, ES</t>
  </si>
  <si>
    <t>VanLeeuwen, ES</t>
  </si>
  <si>
    <t>van Leeuwen, Eveline S.</t>
  </si>
  <si>
    <t>Microsimulation of Rural Households</t>
  </si>
  <si>
    <t>URBAN-RURAL INTERACTIONS:TOWNS AS FOCUS POINTS IN RURAL DEVELOPMENT</t>
  </si>
  <si>
    <t>Contributions to Economics</t>
  </si>
  <si>
    <t>Article; Book Chapter</t>
  </si>
  <si>
    <t>Microsimulation (MSM) is a technique that aims at modelling the likely behaviour of individual persons, households, or individual firms. In these models, agents represent members of a population for the purpose of studying how individual (i.e. micro-) behaviour generates aggregate (i.e. macro-) regularities from the bottom-up (e.g. Epstein, Complexity 4: 41-60, 1999). This results in a natural instrument to anticipate trends in the environment by means of monitoring and early warning, as well as to predict and value the short-term and long-term consequences of implementing certain policy measures (Saarloos, A Framework for a Multi-Agent Planning Support System, PhD thesis, Eindhoven University Press Facilities, Eindhoven, 2006). The simulations can be helpful in showing (a bandwidth of) spatial dynamics, especially if linked to geographical information systems. In this chapter, the development of the spatial MSM model SIMtown will be described. This model simulates the total population of Nunspeet and Oude-water,(1) including a large number of household characteristics, several of which are relevant to predict the shopping behaviour. In the second part of the chapter, the simulated micropopulation will be used to show household characteristics which were previously not available and which are useful for local policy makers.</t>
  </si>
  <si>
    <t>Vrije Univ Amsterdam, Dept Spatial Econ, NL-1081 HV Amsterdam, Netherlands</t>
  </si>
  <si>
    <t>van Leeuwen, ES (corresponding author), Vrije Univ Amsterdam, Dept Spatial Econ, Boelelaan 1105, NL-1081 HV Amsterdam, Netherlands.</t>
  </si>
  <si>
    <t>eleeuwen@feweb.vu.nl</t>
  </si>
  <si>
    <t>233 SPRING STREET, NEW YORK, NY 10013, UNITED STATES</t>
  </si>
  <si>
    <t>1431-1933</t>
  </si>
  <si>
    <t>978-3-7908-2406-3</t>
  </si>
  <si>
    <t>CONTRIB ECON</t>
  </si>
  <si>
    <t>10.1007/978-3-7908-2407-0_6</t>
  </si>
  <si>
    <t>10.1007/978-3-7908-2407-0</t>
  </si>
  <si>
    <t>Economics</t>
  </si>
  <si>
    <t>Book Citation Index – Social Sciences &amp; Humanities (BKCI-SSH)</t>
  </si>
  <si>
    <t>BNX50</t>
  </si>
  <si>
    <t>WOS:000275823100006</t>
  </si>
  <si>
    <t>Padilla, V; Davila, J</t>
  </si>
  <si>
    <t>Padilla, Virginia; Davila, Jacinto</t>
  </si>
  <si>
    <t>Multi-agent simulation for disaster management and risk reduction</t>
  </si>
  <si>
    <t>CIENCIA E INGENIERIA</t>
  </si>
  <si>
    <t>Spanish</t>
  </si>
  <si>
    <t>multi-agent systems; database; simulation; Galatea; disaster management and risk reduction</t>
  </si>
  <si>
    <t>Disasters occupy an increasingly important share of public debate due not only to the unfortunate loss of human lives and infrastructure but also because their effects accumulate and negatively affect the possibilities for a country development and, in general, the defense of human rights. Management Risk reduction refers to the actions to reduce the causes of disasters and to the strategies to reduce vulnerability and risk conditions (Valdes, 1999). This document presents the design of an information system in the domain of disaster management and risk reduction. The application will be oriented to public service and should provide anwers to the question: what is the risk of insufficient water supply for a household during a dry season?. The system simulates the occurrence of changes in the dynamics of rainfall over a particular geography that would cause droughts and anticipate the consequences of that type of disaster on the service of residential water supply that provides an aqueduct in the study area. This application will be used to validate a reference model of a multiagent system that explores the relationship between agents in multiagent systems, databases and geographic information systems. The reference model is an attempt to generalize the characteristics of Galatea (Davila y Uzcategui, 2002; Davila et al., 2007), a multiagent, simulation system, and it is part of an effort aimed to a more comprehensive, uniform and well-founded, platform to simulate complex spatial systems.</t>
  </si>
  <si>
    <t>[Padilla, Virginia; Davila, Jacinto] Univ Los Andes, Fac Ingn, Ctr Simulac &amp; Modelos, Merida 5101, Venezuela</t>
  </si>
  <si>
    <t>Padilla, V (corresponding author), Univ Los Andes, Fac Ingn, Ctr Simulac &amp; Modelos, Merida 5101, Venezuela.</t>
  </si>
  <si>
    <t>vpadilla@uneg.edu.ve</t>
  </si>
  <si>
    <t>UNIV ANDES, FAC INGENIERIA</t>
  </si>
  <si>
    <t>BOGOTA D C</t>
  </si>
  <si>
    <t>CR 1 ESTE 19 A-40, EDIFICIO MARIO LASERNA OFICINA ML313, BOGOTA D C, 00000, COLOMBIA</t>
  </si>
  <si>
    <t>1316-7081</t>
  </si>
  <si>
    <t>2244-8780</t>
  </si>
  <si>
    <t>CIENC ING</t>
  </si>
  <si>
    <t>Cienc. Ing.</t>
  </si>
  <si>
    <t>Engineering, Multidisciplinary</t>
  </si>
  <si>
    <t>V7M1W</t>
  </si>
  <si>
    <t>WOS:000421086300003</t>
  </si>
  <si>
    <t>Yoon, Jim; Klassert, Christian; Selby, Philip; Lachaut, Thibaut; Knox, Stephen; Avisse, Nicolas; Harou, Julien; Tilmant, Amaury; Klauer, Bernd; Mustafa, Daanish; Sigel, Katja; Talozi, Samer; Gawel, Erik; Medellin-Azuara, Josue; Bataineh, Bushra; Zhang, Hua; Gorelick, Steven M.</t>
  </si>
  <si>
    <t>water security; multiagent model; Jordan; multisector dynamics; hydroeconomic modeling</t>
  </si>
  <si>
    <t>Limited water availability, population growth, and climate change have resulted in freshwater crises in many countries. Jordan's situation is emblematic, compounded by conflict-induced population shocks. Integrating knowledge across hydrology, climatology, agriculture, political science, geography, and economics, we present the Jordan Water Model, a nationwide coupled human-natural-engineered systems model that is used to evaluate Jordan's freshwater security under climate and socioeconomic changes. The complex systems model simulates the trajectory of Jordan's water system, representing dynamic interactions between a hierarchy of actors and the natural and engineered water environment. A multiagent modeling approach enables the quantification of impacts at the level of thousands of representative agents across sectors, allowing for the evaluation of both systemwide and distributional outcomes translated into a suite of water-security metrics (vulnerability, equity, shortage duration, and economic well-being). Model results indicate severe, potentially destabilizing, declines in freshwater security. Per capita water availability decreases by approximately 50% by the end of the century. Without intervening measures, &gt;90% of the low-income household population experiences critical insecurity by the end of the century, receiving &lt;40 L per capita per day. Widening disparity in freshwater use, lengthening shortage durations, and declining economic welfare are prevalent across narratives. To gain a foothold on its freshwater future, Jordan must enact a sweeping portfolio of ambitious interventions that include large-scale desalinization and comprehensive water sector reform, with model results revealing exponential improvements in water security through the coordination of supply- and demand-side measures.</t>
  </si>
  <si>
    <t>[Yoon, Jim] Pacific Northwest Natl Lab, Energy &amp; Environm Directorate, Richland, WA 99352 USA; [Klassert, Christian; Klauer, Bernd; Sigel, Katja; Gawel, Erik] UFZ Helmholtz Ctr Environm Res, Dept Econ, D-04318 Leipzig, Germany; [Selby, Philip; Knox, Stephen; Harou, Julien] Univ Manchester, Dept Mech Aerosp &amp; Civil Engn, Manchester M13 9PL, Lancs, England; [Lachaut, Thibaut; Avisse, Nicolas; Tilmant, Amaury] Univ Laval, Dept Genie Civil &amp; Genie Eaux, Quebec City, PQ G1V 0A6, Canada; [Mustafa, Daanish] Kings Coll London, Dept Geog, London WC2R 2LS, England; [Talozi, Samer] Jordan Univ Sci &amp; Technol, Fac Civil Engn, Irbid 22110, Jordan; [Gawel, Erik] Univ Leipzig, Fac Econ &amp; Business Management, D-04109 Leipzig, Germany; [Medellin-Azuara, Josue] Univ Calif Merced, Civil &amp; Environm Engn, Merced, CA 95343 USA; [Bataineh, Bushra] Bechtel Corp, Water Infrastruct Dev, Reston, VA 20190 USA; [Zhang, Hua] Texas A&amp;M Univ, Coll Sci &amp; Engn, Corpus Christi, TX 78412 USA; [Gorelick, Steven M.] Stanford Univ, Dept Earth Syst Sci, Stanford, CA 94305 USA</t>
  </si>
  <si>
    <t>Yoon, J (corresponding author), Pacific Northwest Natl Lab, Energy &amp; Environm Directorate, Richland, WA 99352 USA.</t>
  </si>
  <si>
    <t>jim.yoon@pnnl.gov</t>
  </si>
  <si>
    <t>Klassert, Christian/0000-0003-0676-2455; Zhang, Hua/0000-0002-6470-933X; Mustafa, Daanish/0000-0002-1637-3763; Gorelick, Steven/0000-0003-2486-1318; Avisse, Nicolas/0000-0001-6996-7269</t>
  </si>
  <si>
    <t>NSF as part of the Belmont Forum-Sustainable Urbanization Global Initiative/Food-Water-Energy Nexus theme [GEO/OAD-1342869, ICER/EAR-1829999]; Stanford'sWoods Institute for the Environment of the Global Freshwater Initiative; Natural Environment Research Council Belmont Forum [NE/L009285/1]; Belmont Forum; Deutsche Forschungsgemeinschaft [KL 2764/1-1]; Leipzig University [GA 506/4-1]; German Federal Ministry of Education and Research [033WU002]</t>
  </si>
  <si>
    <t>NSF as part of the Belmont Forum-Sustainable Urbanization Global Initiative/Food-Water-Energy Nexus theme; Stanford'sWoods Institute for the Environment of the Global Freshwater Initiative; Natural Environment Research Council Belmont Forum; Belmont Forum; Deutsche Forschungsgemeinschaft(German Research Foundation (DFG)); Leipzig University; German Federal Ministry of Education and Research(Federal Ministry of Education &amp; Research (BMBF))</t>
  </si>
  <si>
    <t>We thank staff in the Jordanian MWI, WAJ, JVA, Ministry of Agriculture, and Department of Statistics for provision of data and reports for the analysis. We are particularly grateful for support provided by Dr. Hazim El-Naser and Ali Subah at MWI and Refaat Bani Khalaf at WAJ. We also thank Mohammad Bataineh and Amin Badr El-Din for their support over the course of the project. Additional data and information were provided by the US Geological Survey and the US Agency for International Development. The Economic Research Forum and the Jordanian Department of Statistics granted the researchers access to relevant data, after subjecting data to processing aiming to preserve the confidentiality of individual data. The researchers are solely responsible for the conclusions and inferences drawn upon available data. This work was supported by NSF Grants GEO/OAD-1342869 and ICER/EAR-1829999 as part of the Belmont Forum-Sustainable Urbanization Global Initiative/Food-Water-Energy Nexus theme; and by Stanford'sWoods Institute for the Environment in support of the Global Freshwater Initiative. The Natural Environment Research Council Belmont Forum provided UK funding (NE/L009285/1). As part of the Belmont Forum, the Deutsche Forschungsgemeinschaft provided funding to the Helmholtz Center for Environmental Research (UFZ) (KL 2764/1-1) and Leipzig University (GA 506/4-1); and the German Federal Ministry of Education and Research provided funding to UFZ (033WU002). The University of Manchester's Computational Shared Facility is acknowledged. Any opinions, findings, and conclusions or recommendations expressed in this material are solely those of the authors and do not necessarily reflect the views of the NSF or other agencies that provided funding or data.</t>
  </si>
  <si>
    <t>NATL ACAD SCIENCES</t>
  </si>
  <si>
    <t>2101 CONSTITUTION AVE NW, WASHINGTON, DC 20418 USA</t>
  </si>
  <si>
    <t>P NATL ACAD SCI USA</t>
  </si>
  <si>
    <t>Proc. Natl. Acad. Sci. U. S. A.</t>
  </si>
  <si>
    <t>RJ1YV</t>
  </si>
  <si>
    <t>Green Published, hybrid, Green Submitted</t>
  </si>
  <si>
    <t>We use the Multi Agent System paradigm to model and analyse Home Automation System performance in exploiting limited resources such as electricity and hot water. In this paper we evaluate several approaches to the optimisation of Home Automation System performance using Tabu Search, and Single and Multi-objective Genetic Algorithms. The results show that the Genetic Algorithms achieve faster convergence than Tabu Search. Multi-objective Genetic Algorithm provides a diverse set of solutions for the decision maker.</t>
  </si>
  <si>
    <t>[Morganti, G.; Perdon, A. M.; Conte, G.; Scaradozzi, D.] Univ Politecn Marche, Dipartimento Ingn Informat Gest &amp; Automaz, Via Brecce Bianche 12, I-60131 Ancona, Italy; [Brintrup, A.] Univ Cambridge, Inst Mfg, Cambridge CB2 1RX, England</t>
  </si>
  <si>
    <t>Morganti, G (corresponding author), Univ Politecn Marche, Dipartimento Ingn Informat Gest &amp; Automaz, Via Brecce Bianche 12, I-60131 Ancona, Italy.</t>
  </si>
  <si>
    <t>morganti@diiga.univpm.it; perdon@univpm.it; gconte@univpm.it; d.scaradozzi@univpm.it; ab702@cam.ac.uk</t>
  </si>
  <si>
    <t>MED C CONTR AUTOMAT</t>
  </si>
  <si>
    <t>Automation &amp; Control Systems</t>
  </si>
  <si>
    <t>BQC63</t>
  </si>
  <si>
    <t>Ambient intelligence; Multi agent system; Intelligent lighting; Home automation; Context-aware</t>
  </si>
  <si>
    <t>CONTEXT</t>
  </si>
  <si>
    <t>The home automation is one of the most customers of electrical energy after the industry. Lighting represents on average about 15% of the annual electricity bill excluding gas and hot water. Different studies have been made to reduce the electrical energy consumption like automatic switching and time programming. But all these techniques have not an important rate in reducing the electrical energy consumption. So we note that an intelligent lighting which varies with the users need remains important source of economy of the energy. The intelligent lighting is obtained by using ambient intelligence (AmI). Multi agent System (MAS) have become the important paradigm to develop an ambient system because they have important characteristics like autonomy, proactivity and mobility to respond better to the main characteristic of ambient intelligence like the adaptability to the context. In this area, we propose an adaptive and intelligent lighting system in which each light source is represented by a software agent and the set of agents compose and coordinate their competences in order to illuminate a region with minimum energy consumption.</t>
  </si>
  <si>
    <t>[Chaib, Aouatef; Allaoua, Chaoui] Constantine 2 Univ, MISC Lab, Constantine 25000, Algeria; [Imen, Boussebough] Constantine 2 Univ, Lire Lab, Constantine 25000, Algeria</t>
  </si>
  <si>
    <t>Chaib, A (corresponding author), Constantine 2 Univ, MISC Lab, Constantine 25000, Algeria.</t>
  </si>
  <si>
    <t>chaibaouatef@gmail.com; iboussebough@yahoo.fr; chaoui@umc-misc.org</t>
  </si>
  <si>
    <t>Chaoui, Allaoua/0000-0003-3751-8084</t>
  </si>
  <si>
    <t>LECT NOTE NETW SYST</t>
  </si>
  <si>
    <t>Computer Science, Artificial Intelligence; Computer Science, Software Engineering; Computer Science, Theory &amp; Methods</t>
  </si>
  <si>
    <t>BF8WL</t>
  </si>
  <si>
    <t>A paradigm for modelling and analysing Home Automation Systems is introduced, based on Multi-Agent System theory. A rich and versatile environment for Home Automation System simulation is constructed for investigating the performances of the system. The exploitation of limited resources (electricity, gas, hot water) depends on behavioural parameters of the individual appliances. In order to deal with the problem of developing systematic design and validation procedures for control strategies, global performance indices for the system are introduced. Different strategies for allocating resources and establishing priorities in their use can therefore be tested and compared.</t>
  </si>
  <si>
    <t>[Morganti, C.; Perdon, A. M.; Conte, G.; Scaradozzi, D.] Univ Politecn Marche, Dipartimento Ingn Informat Gest &amp; Automaz, I-60131 Ancona, Italy</t>
  </si>
  <si>
    <t>Morganti, C (corresponding author), Univ Politecn Marche, Dipartimento Ingn Informat Gest &amp; Automaz, Via Brecce Bianche 12, I-60131 Ancona, Italy.</t>
  </si>
  <si>
    <t>morganti@diiga.univpm.it; perdon@univpm.it; gconte@univpm.it; d.scaradozzi@univpm.it</t>
  </si>
  <si>
    <t>Morganti, Gianluca/0000-0002-7863-5829; Scaradozzi, David/0000-0001-9346-2113; Perdon, Anna Maria/0000-0001-5679-555X; Conte, Giuseppe/0000-0001-6615-1539</t>
  </si>
  <si>
    <t>Computer Science, Artificial Intelligence; Computer Science, Theory &amp; Methods; Mathematical &amp; Computational Biology</t>
  </si>
  <si>
    <t>Computer Science; Mathematical &amp; Computational Biology</t>
  </si>
  <si>
    <t>BLF80</t>
  </si>
  <si>
    <t>Narayanan, LK; Sankaranarayanan, S; Rodrigues, JJPC; Lorenz, P</t>
  </si>
  <si>
    <t>Narayanan, Lakshmi Kanthan; Sankaranarayanan, Suresh; Rodrigues, Joel J. P. C.; Lorenz, Pascal</t>
  </si>
  <si>
    <t>Multi-Agent-Based Modeling for Underground Pipe Health and Water Quality Monitoring for Supplying Quality Water</t>
  </si>
  <si>
    <t>INTERNATIONAL JOURNAL OF INTELLIGENT INFORMATION TECHNOLOGIES</t>
  </si>
  <si>
    <t>DEMAND; SYSTEM; SENSORS</t>
  </si>
  <si>
    <t>This article discusses distributed monitoring through the deployment of various multiagents in the IoT-Fog-based water distribution network (WDN). This will ensure the right amount of water supplied with respect to demand forecasted to residents. In addition, underground pipe health is also monitored by means of a multiagent based on hydraulic parameters supplying water forecasted with minimal losses which would minimize the operational and material cost involved in recovery or repair. Lastly, there are agents deployed towards leakage monitoring and anti-theft detection of water. The multiagents act upon various parameters of hydrology and analysis is based on the data acquired by the various sensors deployed in the water distribution network which perform partial automation of the disconnection of the supply during extreme critical conditions.</t>
  </si>
  <si>
    <t>[Narayanan, Lakshmi Kanthan] Chennai Inst Technol, Dept Comp Sci, Chennai, Tamil Nadu, India; [Sankaranarayanan, Suresh] SRM Inst Sci &amp; Technol, Dept Informat Technol, Chennai, Tamil Nadu, India; [Rodrigues, Joel J. P. C.] Fed Univ Piaui UFPI, Teresina, PI, Brazil; [Rodrigues, Joel J. P. C.] Inst Telecomunicacoes, Aveiro, Portugal; [Lorenz, Pascal] Univ Haute Alsace, Mulhouse, France</t>
  </si>
  <si>
    <t>Narayanan, LK (corresponding author), Chennai Inst Technol, Dept Comp Sci, Chennai, Tamil Nadu, India.</t>
  </si>
  <si>
    <t>, LORENZ/ABH-9737-2020; Rodrigues, Joel J. P. C./A-8103-2013; Sankaranarayanan, Suresh/G-9586-2018</t>
  </si>
  <si>
    <t>, LORENZ/0000-0003-3346-7216; Rodrigues, Joel J. P. C./0000-0001-8657-3800; Narayanan, Dr. Lakshmi Kanthan/0000-0002-1221-2268; Sankaranarayanan, Suresh/0000-0001-5145-510X</t>
  </si>
  <si>
    <t>FCT/MCTES; EU funds [UIDB/EEA/50008/2020]; Brazilian National Council for Scientific and Technological Development (CNPq) [309335/2017-5]</t>
  </si>
  <si>
    <t>FCT/MCTES(Portuguese Foundation for Science and TechnologyEuropean Commission); EU funds; Brazilian National Council for Scientific and Technological Development (CNPq)(Conselho Nacional de Desenvolvimento Cientifico e Tecnologico (CNPQ))</t>
  </si>
  <si>
    <t>This work has been by FCT/MCTES through national funds and when applicable co-funded EU funds under the Project UIDB/EEA/50008/2020; and by the Brazilian National Council for Scientific and Technological Development (CNPq) via Grant No. 309335/2017-5.</t>
  </si>
  <si>
    <t>IGI GLOBAL</t>
  </si>
  <si>
    <t>HERSHEY</t>
  </si>
  <si>
    <t>701 E CHOCOLATE AVE, STE 200, HERSHEY, PA 17033-1240 USA</t>
  </si>
  <si>
    <t>1548-3657</t>
  </si>
  <si>
    <t>1548-3665</t>
  </si>
  <si>
    <t>INT J INTELL INF TEC</t>
  </si>
  <si>
    <t>Int. J. Intell. Inf. Technol.</t>
  </si>
  <si>
    <t>JUL-SEP</t>
  </si>
  <si>
    <t>Computer Science, Information Systems</t>
  </si>
  <si>
    <t>MI5ZI</t>
  </si>
  <si>
    <t>WOS:000547485200003</t>
  </si>
  <si>
    <t>Inst Syst &amp; Technol Informat Control &amp; Commun,Polytech Inst Setubal,IEEE Robot &amp; Automat Soc,Int Federat Automat Control,Amer Assoc Artificial Intelligence,AgentLink,ACM SIGAI,Portuguese Assoc Automat Control</t>
  </si>
  <si>
    <t>Home Automation system; multi-agent systems; automatic control; negotiation and cooperation; power management</t>
  </si>
  <si>
    <t>[Abras, Shadi; Pesty, Sylvie] CNRS, UMR5552, Inst IMAG, Lab Leibniz, 46 Ave Felix Viallet, F-38031 Grenoble, France; [Ploix, Stephane; Jacomino, Mireille] CNRS, Lab Automat Grenoble, UMR5528, Grenoble, France</t>
  </si>
  <si>
    <t>Abras, S (corresponding author), CNRS, UMR5552, Inst IMAG, Lab Leibniz, 46 Ave Felix Viallet, F-38031 Grenoble, France.</t>
  </si>
  <si>
    <t>Shadi.Abras@imag.fr; Stephane.Ploix@inpg.fr; Sylvie.Pesty@imag.fr; Mireille.Jacomino@inpg.fr</t>
  </si>
  <si>
    <t>INSTICC-INST SYST TECHNOLOGIES INFORMATION CONTROL &amp; COMMUNICATION</t>
  </si>
  <si>
    <t>SETUBAL</t>
  </si>
  <si>
    <t>AVENIDA D MANUEL L, 27A 2 ESQUERDO, SETUBAL, 2910-595, PORTUGAL</t>
  </si>
  <si>
    <t>Automation &amp; Control Systems; Computer Science, Artificial Intelligence</t>
  </si>
  <si>
    <t>BFH85</t>
  </si>
  <si>
    <t>Multi-agent simulations; Spatial epidemiology; Foot-and-mouth disease; Wildlife-livestock interactions; Protected area</t>
  </si>
  <si>
    <t>BUFFALO SYNCERUS-CAFFER; KRUGER-NATIONAL-PARK; BOVINE TUBERCULOSIS; ACTIVITY PATTERNS; GREAT-BRITAIN; VIRUS; TRANSMISSION; CATTLE; SPREAD; MODEL</t>
  </si>
  <si>
    <t>This study aimed at understanding how landscape heterogeneity influences outbreaks of contagious diseases in southern Africa. Landscape attributes influence patterns of movement and behaviour of animal hosts, virus spread and survival, as well as land use practices. A multi-agent simulation was developed to represent the spatial and temporal dynamics of pathogens between human-livestock and wildlife interfaces at the fringe of large wildlife conservation areas. The model represents the three main elements associated with epidemics - populations, space, and time - to simulate direct contacts between wildlife and livestock. The dynamics of these populations emerge from interactions between agents and the landscape. The model was calibrated to represent the transmission of foot-and-mouth disease through direct contact at the border of the Kruger National Park in South Africa. In the region, African buffaloes (Syncerus caffer) act as reservoirs of the virus and spread the infection to domestic cattle bordering the park. We tested the sensitivity of various factors influencing contact rate between buffaloes and cattle, and thus the risk of foot-and-mouth disease transmission. Results show that cattle-buffalo contacts mostly depend on the range of displacements of cattle and buffaloes, as influenced by the landscape configuration, and on the number of fence breakages multiplied by the time between breakage and repair. Contacts take place not only close to water-points but also in grazing areas, within an area up to 6 km from the fence. (C) 2011 Elsevier B.V. All rights reserved.</t>
  </si>
  <si>
    <t>[Dion, Elise; Lambin, Eric F.] Catholic Univ Louvain, Georges Lemaitre Ctr Earth &amp; Climate Res, Earth &amp; Life Inst, Louvain, Belgium; [VanSchalkwyk, Louis] Univ Pretoria, Fac Vet Sci, Ctr Vet Wildlife Studies, ZA-0002 Pretoria, South Africa; [Lambin, Eric F.] Stanford Univ, Sch Earth Sci, Stanford, CA 94305 USA; [Lambin, Eric F.] Stanford Univ, Woods Inst, Stanford, CA 94305 USA</t>
  </si>
  <si>
    <t>Dion, E (corresponding author), Pl Louis Pasteur 3, B-1348 Louvain, Belgium.</t>
  </si>
  <si>
    <t>elise.dion@uclouvain.be</t>
  </si>
  <si>
    <t>Belgian Science Policy, Research Program for Earth Observation Stereo II [SR/00/102]</t>
  </si>
  <si>
    <t>Belgian Science Policy, Research Program for Earth Observation Stereo II(Belgian Federal Science Policy Office)</t>
  </si>
  <si>
    <t>This research was funded by the Belgian Science Policy, Research Program for Earth Observation Stereo II, contract no. SR/00/102, as part of the EPISTIS project (Remote sensing tools to study the EPI-demiology and Space/Time dynamicS of diseases). We are grateful to AVIA-GIS, S. Vanhuysse, C. De Pus, E. De Clercq, and N. Fostier for help in fieldwork and to P. Van den Bossche and S. Vanwambeke for their helpful suggestions. We thank the reviewers for their useful comments.</t>
  </si>
  <si>
    <t>790IJ</t>
  </si>
  <si>
    <t>Evacuation simulation; Multi-agent system; Flooding analysis; Storm surge; Prior recognition of flooding state</t>
  </si>
  <si>
    <t>In recent years, disasters have caused extensive water damage in various parts of Japan. Flooded evacuation routes and ineffective hazard maps commonly constrain evacuees' behavior, which results in casualties. In this study, storm surge flooding analysis was carried out using OpenFOAM, which is a computational fluid dynamics software that monitors flooding state as a function of time, and evacuation simulations using a multi-agent system that considers evacuation behavior knowing the flooding state established by the flooding analysis. In some of the scenarios, many residents were caught in the flooding and could not be evacuated. Additional evacuation simulations revealed that evacuation behavior is more effective if residents have advance knowledge of the area expected to flood. Identifying these flood hazard areas and recognizing these areas in advance as impassable enables evacuees to avoid flood hazard areas; consequently, there is a decrease in the number of evacuees who get caught in the flooding. Anticipating the area expected to be flooded suggests the best evacuation locations and routes. Using these simulation results with useful hazard maps and disaster education, residents will correctly recognize the risk of a storm surge disaster and prepare for it, which will assist recovery. Finally, our analytical and simulation approach to disaster management is amenable to long-term planning for disaster-resistant cities.</t>
  </si>
  <si>
    <t>[Kubo, Shiori] Univ Tokyo, Inst Ind Sci, 5-1-5 Kashiwanoha, Kashiwa, Chiba 2778574, Japan; [Yoshida, Hidenori] Kagawa Univ, Fac Engn &amp; Design, 2217-20 Hayashi Cho, Takamatsu, Kagawa 7610396, Japan; [Ichimura, Tsuyoshi; Wijerathne, M. L. L.] Univ Tokyo, Earthquake Res Inst, Bunkyo Ku, 1-1-1 Yayoi, Tokyo 1130032, Japan; [Hori, Muneo] Japan Agcy Marine Earth Sci &amp; Technol, Res Inst Value Added Informat Generat, Kanazawa Ku, 3173-25 Showa Machi, Yokohama, Kanagawa 2360001, Japan</t>
  </si>
  <si>
    <t>Kubo, S (corresponding author), Univ Tokyo, Inst Ind Sci, 5-1-5 Kashiwanoha, Kashiwa, Chiba 2778574, Japan.</t>
  </si>
  <si>
    <t>shiori_kubo@metall.t.u-tokyo.ac.jp</t>
  </si>
  <si>
    <t>JSPS [19J14428]</t>
  </si>
  <si>
    <t>JSPS(Ministry of Education, Culture, Sports, Science and Technology, Japan (MEXT)Japan Society for the Promotion of Science)</t>
  </si>
  <si>
    <t>This work was supported by JSPS Grant-in-Aid for JSPS Fellows Grant Number 19J14428.</t>
  </si>
  <si>
    <t>INT J DISAST RISK RE</t>
  </si>
  <si>
    <t>Int. J. Disaster Risk Reduct.</t>
  </si>
  <si>
    <t>Geosciences, Multidisciplinary; Meteorology &amp; Atmospheric Sciences; Water Resources</t>
  </si>
  <si>
    <t>Geology; Meteorology &amp; Atmospheric Sciences; Water Resources</t>
  </si>
  <si>
    <t>UF5OZ</t>
  </si>
  <si>
    <t>Nat Taiwan Univ, Dept Geog,Taiwan Geog Informat Soc,Int Assoc Chinese Profess Geog Informat Sci,Kaohsiung City Govt, Minist Interior, Informat Ctr,Kaohsiung City Govt, Land Adm Bur,Natl Land Surveying &amp; Mapping Ctr,Aerial Survey Off,Forestry Bur,Chinese Profess Geog Informat Sci</t>
  </si>
  <si>
    <t>MAS / LUCC Model; Ant Colony Optimization; Multi-agent; Erhai Lake Basin</t>
  </si>
  <si>
    <t>Land Use and Land Cover Change (LUCC) is the essential content of the study of the current global environmental change and sustainable development, and has a profound influence on regional water cycle, atmospheric circulation, environmental quality, climate change, and terrestrial ecosystem productivity. It is also the most important reason causing biodiversity attenuation. The MAS/LUCC model of this paper is designed to explore the mechanism of the spatial and temporal evolution of the land use change, which results from the interaction among government, residents, farmers, and other agents, the interaction between multi-agent and the environment where the agents live. The model also introduces the ant colony optimization to improve the simulation accuracy. Taking Erhai Lake Basin as a case, MAS/LUCC used the watershed land use classification map in 2000 as the initial data, predicted and simulated the land use types and structure of the watershed in 2010, using the land use classification map of 2010 as validation data. The accuracy of the model is 79.71% or so by the point-to-point verification method, and the ant colony optimization improves the precision of 8.94% compared with the model without it. Thus, it can be able to provide auxiliary decision support for the government and land-use planners to develop a land policy.</t>
  </si>
  <si>
    <t>[Wang, Guilin; Liu, Tao; Xu, Quanli] Yunnan Normal Univ Kunming, Sch Tourism &amp; Geog Sci, Kunming, Peoples R China; [Wang, Guilin; Yang, Kun; Liu, Tao; Yang, Yulian; Xu, Quanli; Zhu, Yanhui] Minist Educ Kunming, Engn Res Ctr GIS Technol Western China, Kunming, Peoples R China; [Yang, Kun; Yang, Yulian; Zhu, Yanhui] Yunnan Normal Univ Kunming, Sch Informat Sci &amp; Technol, Kunming, Peoples R China</t>
  </si>
  <si>
    <t>Yang, K (corresponding author), Minist Educ Kunming, Engn Res Ctr GIS Technol Western China, Kunming, Peoples R China.</t>
  </si>
  <si>
    <t>kmdcynu@163.com</t>
  </si>
  <si>
    <t>INT CONF GEOINFORM</t>
  </si>
  <si>
    <t>Computer Science, Theory &amp; Methods; Engineering, Electrical &amp; Electronic; Geosciences, Multidisciplinary</t>
  </si>
  <si>
    <t>Computer Science; Engineering; Geology</t>
  </si>
  <si>
    <t>BD1WN</t>
  </si>
  <si>
    <t>Necessary further readings: The AUSTIME Methodology: Quantifiable Sustainability Assessment Coupled with Multi-agent Simulation</t>
  </si>
  <si>
    <t>57222372490;55821794100;57470336600;57205271735;57189375819;</t>
  </si>
  <si>
    <t>All Open Access, Green</t>
  </si>
  <si>
    <t>AECNB</t>
  </si>
  <si>
    <t>01695150</t>
  </si>
  <si>
    <t>00029602</t>
  </si>
  <si>
    <t>00375497</t>
  </si>
  <si>
    <t>3540252622; 9783540252627</t>
  </si>
  <si>
    <t>03029743</t>
  </si>
  <si>
    <t>19 July 2004 through 23 July 2004</t>
  </si>
  <si>
    <t>Joint Workshop MABS 2004</t>
  </si>
  <si>
    <t>Springer Verlag</t>
  </si>
  <si>
    <t>1891706179</t>
  </si>
  <si>
    <t>5 September 2005 through 7 September 2005</t>
  </si>
  <si>
    <t>11th International Conference on Distributed Multimedia Systems, DMS 2005</t>
  </si>
  <si>
    <t>Knowledge Systems Institute Graduate School</t>
  </si>
  <si>
    <t>Knowledge Systems Institute</t>
  </si>
  <si>
    <t>0975840002; 9780975840009</t>
  </si>
  <si>
    <t>Melbourne, VIC</t>
  </si>
  <si>
    <t>12 December 2005 through 15 December 2005</t>
  </si>
  <si>
    <t>International Congress on Modelling and Simulation: Advances and Applications for Management and Decision Making, MODSIM05</t>
  </si>
  <si>
    <t>Model. Simul. Soc. Australia New Zealand (MSSANZ);Catchment Modelling Toolkit;CSIRO Sustainable Ecosystems;The University of Melbourne</t>
  </si>
  <si>
    <t>WWJOA</t>
  </si>
  <si>
    <t>00431443</t>
  </si>
  <si>
    <t>9728865597; 9789728865597</t>
  </si>
  <si>
    <t>Setubal</t>
  </si>
  <si>
    <t>1 August 2006 through 5 August 2006</t>
  </si>
  <si>
    <t>3rd International Conference on Informatics in Control, Automation and Robotics, ICINCO 2006</t>
  </si>
  <si>
    <t>Polytechnic Institute of Setubal</t>
  </si>
  <si>
    <t>09204741</t>
  </si>
  <si>
    <t>02658135</t>
  </si>
  <si>
    <t>Pion Limited</t>
  </si>
  <si>
    <t>Chinese</t>
  </si>
  <si>
    <t>ZHKEE</t>
  </si>
  <si>
    <t>10006923</t>
  </si>
  <si>
    <t>9781402055904</t>
  </si>
  <si>
    <t>Bonn</t>
  </si>
  <si>
    <t>23 February 2005 through 25 February 2005</t>
  </si>
  <si>
    <t>International Conference on Integrated Assessment of Water Resources and Global Change: A North-South Analysis</t>
  </si>
  <si>
    <t>19401493</t>
  </si>
  <si>
    <t>Taylor and Francis Ltd.</t>
  </si>
  <si>
    <t>9783540791416</t>
  </si>
  <si>
    <t>18761100</t>
  </si>
  <si>
    <t>EMSOF</t>
  </si>
  <si>
    <t>13648152</t>
  </si>
  <si>
    <t>02648377</t>
  </si>
  <si>
    <t>3540876553; 9783540876557</t>
  </si>
  <si>
    <t>Burgos</t>
  </si>
  <si>
    <t>24 September 2008 through 26 September 2008</t>
  </si>
  <si>
    <t>3rd International Workshop on Hybrid Artificial Intelligence Systems, HAIS 2008</t>
  </si>
  <si>
    <t>All Open Access, Bronze</t>
  </si>
  <si>
    <t>WRERA</t>
  </si>
  <si>
    <t>00431397</t>
  </si>
  <si>
    <t>9780784411148</t>
  </si>
  <si>
    <t>Providence, RI</t>
  </si>
  <si>
    <t>16 May 2010 through 20 May 2010</t>
  </si>
  <si>
    <t>World Environmental and Water Resources Congress 2010: Challenges of Change</t>
  </si>
  <si>
    <t>Environmental and Water Resources Institute of ASCE</t>
  </si>
  <si>
    <t>Polish</t>
  </si>
  <si>
    <t>00357715</t>
  </si>
  <si>
    <t>MASCF</t>
  </si>
  <si>
    <t>13812386</t>
  </si>
  <si>
    <t>9780784411735</t>
  </si>
  <si>
    <t>Palm Springs, CA</t>
  </si>
  <si>
    <t>22 May 2011 through 26 May 2011</t>
  </si>
  <si>
    <t>World Environmental and Water Resources Congress 2011: Bearing Knowledge for Sustainability</t>
  </si>
  <si>
    <t>9781450306904</t>
  </si>
  <si>
    <t>Dublin</t>
  </si>
  <si>
    <t>12 July 2011 through 16 July 2011</t>
  </si>
  <si>
    <t>13th Annual Genetic and Evolutionary Computation Conference, GECCO'11</t>
  </si>
  <si>
    <t>Assoc. Comput. Mach., Spec. Interest;Group Genet. Evol. Comput. (ACM SIGEVO)</t>
  </si>
  <si>
    <t>9783642193217</t>
  </si>
  <si>
    <t>18678211</t>
  </si>
  <si>
    <t>Athens</t>
  </si>
  <si>
    <t>14 October 2010 through 15 October 2010</t>
  </si>
  <si>
    <t>1st International Conference on Energy-Efficient Computing and Networking, E-Energy 2010</t>
  </si>
  <si>
    <t>9781457710018</t>
  </si>
  <si>
    <t>19449925</t>
  </si>
  <si>
    <t>Detroit, MI</t>
  </si>
  <si>
    <t>24 July 2011 through 28 July 2011</t>
  </si>
  <si>
    <t>2011 IEEE PES General Meeting: The Electrification of Transportation and the Grid of the Future</t>
  </si>
  <si>
    <t>18672434</t>
  </si>
  <si>
    <t>Springer Heidelberg</t>
  </si>
  <si>
    <t>CEUSD</t>
  </si>
  <si>
    <t>01989715</t>
  </si>
  <si>
    <t>9780784412312</t>
  </si>
  <si>
    <t>Albuquerque, NM</t>
  </si>
  <si>
    <t>20 May 2012 through 24 May 2012</t>
  </si>
  <si>
    <t>World Environmental and Water Resources Congress 2012: Crossing Boundaries</t>
  </si>
  <si>
    <t>Environ. Water Resour. Inst. (EWRI) Am. Soc. Civ. Eng.</t>
  </si>
  <si>
    <t>Kluwer Academic Publishers</t>
  </si>
  <si>
    <t>All Open Access, Gold, Green</t>
  </si>
  <si>
    <t>20734441</t>
  </si>
  <si>
    <t>14607425</t>
  </si>
  <si>
    <t>University of Surrey</t>
  </si>
  <si>
    <t>9780784412947</t>
  </si>
  <si>
    <t>Cincinnati, OH</t>
  </si>
  <si>
    <t>19 May 2013 through 23 May 2013</t>
  </si>
  <si>
    <t>World Environmental and Water Resources Congress 2013: Showcasing the Future</t>
  </si>
  <si>
    <t>American Society of Civil Engineers (ASCE)</t>
  </si>
  <si>
    <t>(EWRI) of the American Society of Civil Engineers;Environmental and Water Resources Institute</t>
  </si>
  <si>
    <t>07339496</t>
  </si>
  <si>
    <t>9783037858202</t>
  </si>
  <si>
    <t>16609336</t>
  </si>
  <si>
    <t>Zhengzhou, Henan</t>
  </si>
  <si>
    <t>17 August 2013 through 18 August 2013</t>
  </si>
  <si>
    <t>9783037858646</t>
  </si>
  <si>
    <t>Zhuhai</t>
  </si>
  <si>
    <t>23 July 2013 through 24 July 2013</t>
  </si>
  <si>
    <t>2nd International Conference on Information Technology and Management Innovation, ICITMI 2013</t>
  </si>
  <si>
    <t>Queensland University of Technology;Korea Maritime University;Hong Kong Industrial Technology Research Centre;Inha University;National Chengchi University;et al</t>
  </si>
  <si>
    <t>1943815X</t>
  </si>
  <si>
    <t>9781845648695</t>
  </si>
  <si>
    <t>17433517</t>
  </si>
  <si>
    <t>Jakarta</t>
  </si>
  <si>
    <t>11 October 2013 through 12 October 2013</t>
  </si>
  <si>
    <t>WITPress</t>
  </si>
  <si>
    <t>10762787</t>
  </si>
  <si>
    <t>John Wiley and Sons Inc.</t>
  </si>
  <si>
    <t>9789462520226</t>
  </si>
  <si>
    <t>24 August 2014 through 27 August 2014</t>
  </si>
  <si>
    <t>2nd International Conference on ICT for Sustainability, ICT4S 2014</t>
  </si>
  <si>
    <t>Atlantis Press</t>
  </si>
  <si>
    <t>Ericsson;NCC;Sweco;TeliaSonera</t>
  </si>
  <si>
    <t>9780784413548</t>
  </si>
  <si>
    <t>1 June 2014 through 5 June 2014</t>
  </si>
  <si>
    <t>World Environmental and Water Resources Congress 2014: Water Without Borders</t>
  </si>
  <si>
    <t>Environmental and Water Resources Institute (EWRI) of the American Society of Civil Engineers (ASCE)</t>
  </si>
  <si>
    <t>WATRA</t>
  </si>
  <si>
    <t>00431354</t>
  </si>
  <si>
    <t>Elsevier Ltd</t>
  </si>
  <si>
    <t>9783038350194</t>
  </si>
  <si>
    <t>Shenzhen</t>
  </si>
  <si>
    <t>24 December 2013 through 25 December 2013</t>
  </si>
  <si>
    <t>Queensland University of Technology;Korea Maritime University;Hong Kong Industrial Technology Research Centre;Inha University;National Chengchi University, Taiwan;et al</t>
  </si>
  <si>
    <t>9780784479070</t>
  </si>
  <si>
    <t>24 March 2015 through 27 March 2015</t>
  </si>
  <si>
    <t>Architectural Engineering National Conference 2015: Birth and Life of the Integrated Building, AEI 2015</t>
  </si>
  <si>
    <t>The Architectural Engineering Institute (AEI) of the American Society of Civil Engineers (ASCE)</t>
  </si>
  <si>
    <t>9780784479162</t>
  </si>
  <si>
    <t>17 May 2015 through 21 May 2015</t>
  </si>
  <si>
    <t>World Environmental and Water Resources Congress 2015: Floods, Droughts, and Ecosystems</t>
  </si>
  <si>
    <t>WSCPD</t>
  </si>
  <si>
    <t>9781479974863</t>
  </si>
  <si>
    <t>08917736</t>
  </si>
  <si>
    <t>7 December 2014 through 10 December 2014</t>
  </si>
  <si>
    <t>2014 Winter Simulation Conference, WSC 2014</t>
  </si>
  <si>
    <t>Institute of Electrical and Electronics Engineers Inc.</t>
  </si>
  <si>
    <t>ESCPF</t>
  </si>
  <si>
    <t>14629011</t>
  </si>
  <si>
    <t>9781466684485; 146668447X; 9781466684478</t>
  </si>
  <si>
    <t>IGI Global</t>
  </si>
  <si>
    <t>9781479976935</t>
  </si>
  <si>
    <t>29 June 2015 through 2 July 2015</t>
  </si>
  <si>
    <t>IEEE Eindhoven PowerTech, PowerTech 2015</t>
  </si>
  <si>
    <t>SLHPB</t>
  </si>
  <si>
    <t>05599350</t>
  </si>
  <si>
    <t>China Water Power Press</t>
  </si>
  <si>
    <t>20798954</t>
  </si>
  <si>
    <t>9783319167510; 9783319167503</t>
  </si>
  <si>
    <t>Springer International Publishing</t>
  </si>
  <si>
    <t>9780784479827</t>
  </si>
  <si>
    <t>31 May 2016 through 2 June 2016</t>
  </si>
  <si>
    <t>Construction Research Congress 2016: Old and New Construction Technologies Converge in Historic San Juan, CRC 2016</t>
  </si>
  <si>
    <t>Construction Institute (CI) of the American Society of Civil Engineers (ASCE), Construction Research Council;University of Puerto Rico-Mayaguez, Department of civil Engineering and Surveying, Construction Engineering and Management</t>
  </si>
  <si>
    <t>9780784479858</t>
  </si>
  <si>
    <t>22 May 2016 through 26 May 2016</t>
  </si>
  <si>
    <t>16th World Environmental and Water Resources Congress 2016: Watershed Management, Irrigation and Drainage, and Water Resources Planning and Management</t>
  </si>
  <si>
    <t>9780784479841</t>
  </si>
  <si>
    <t>16th World Environmental and Water Resources Congress 2016: Professional Development, Innovative Technology, International Perspectives, and History and Heritage</t>
  </si>
  <si>
    <t>9788890357459</t>
  </si>
  <si>
    <t>10 July 2016 through 14 July 2016</t>
  </si>
  <si>
    <t>8th International Congress on Environmental Modelling and Software - Environmental Modelling and Software for Supporting a Sustainable Future, iEMSs 2016</t>
  </si>
  <si>
    <t>International Environmental Modelling and Software Society (iEMSs)</t>
  </si>
  <si>
    <t>23673370</t>
  </si>
  <si>
    <t>Springer Science and Business Media Deutschland GmbH</t>
  </si>
  <si>
    <t>22106707</t>
  </si>
  <si>
    <t>21837635</t>
  </si>
  <si>
    <t>Cogitatio Press</t>
  </si>
  <si>
    <t>9781510870673</t>
  </si>
  <si>
    <t>25222708</t>
  </si>
  <si>
    <t>7 August 2017 through 9 August 2017</t>
  </si>
  <si>
    <t>15th International Conference of the International Building Performance Simulation Association, Building Simulation 2017</t>
  </si>
  <si>
    <t>International Building Performance Simulation Association</t>
  </si>
  <si>
    <t>5 September 2017 through 7 September 2017</t>
  </si>
  <si>
    <t>15th International Conference on Computing and Control for the Water Industry, CCWI 2017</t>
  </si>
  <si>
    <t>University of Sheffield</t>
  </si>
  <si>
    <t>Analytical Technology Inc. (ATi);Environmental Monitoring Solutions (EMS);Metasphere;RTC4Water</t>
  </si>
  <si>
    <t>9781509027705</t>
  </si>
  <si>
    <t>18 July 2016 through 21 July 2016</t>
  </si>
  <si>
    <t>13th IEEE International Conference on Ubiquitous Intelligence and Computing, 13th IEEE International Conference on Advanced and Trusted Computing, 16th IEEE International Conference on Scalable Computing and Communications, IEEE International Conference on Cloud and Big Data Computing, IEEE International Conference on Internet of People and IEEE Smart World Congress and Workshops, UIC-ATC-ScalCom-CBDCom-IoP-SmartWorld 2016</t>
  </si>
  <si>
    <t>Berger Levrault;et al.;IEEE;IEEE Computer Society;IEEE Technical Committee of Scalable Computing (TCSC);NVIDIA Corporation</t>
  </si>
  <si>
    <t>All Open Access, Hybrid Gold, Green</t>
  </si>
  <si>
    <t>JCROE</t>
  </si>
  <si>
    <t>09596526</t>
  </si>
  <si>
    <t>WSTWB</t>
  </si>
  <si>
    <t>16069749</t>
  </si>
  <si>
    <t>IWA Publishing</t>
  </si>
  <si>
    <t>15715124</t>
  </si>
  <si>
    <t>9781450353755</t>
  </si>
  <si>
    <t>6 July 2017 through 9 July 2017</t>
  </si>
  <si>
    <t>2nd International Conference on Crowd Science and Engineering, ICCSE 2017</t>
  </si>
  <si>
    <t>Association for Computing Machinery</t>
  </si>
  <si>
    <t>RIAND</t>
  </si>
  <si>
    <t>02724332</t>
  </si>
  <si>
    <t>Blackwell Publishing Inc.</t>
  </si>
  <si>
    <t>Chinese Society for Environmental Sciences</t>
  </si>
  <si>
    <t>1569190X</t>
  </si>
  <si>
    <t>Elsevier B.V.</t>
  </si>
  <si>
    <t>21943206</t>
  </si>
  <si>
    <t>Springer</t>
  </si>
  <si>
    <t>57705404400;57169496300;</t>
  </si>
  <si>
    <t>9781509028733</t>
  </si>
  <si>
    <t>12 December 2017 through 15 December 2017</t>
  </si>
  <si>
    <t>56th IEEE Annual Conference on Decision and Control, CDC 2017</t>
  </si>
  <si>
    <t>ANCA Motion;City of Melbourne;Mathworks;The University of Melbourne;The University of Newcastle;United Technologies Research Center (UTRC)</t>
  </si>
  <si>
    <t>All Open Access, Hybrid Gold</t>
  </si>
  <si>
    <t>14363798</t>
  </si>
  <si>
    <t>SHUJE</t>
  </si>
  <si>
    <t>10016791</t>
  </si>
  <si>
    <t>JHYDA</t>
  </si>
  <si>
    <t>00221694</t>
  </si>
  <si>
    <t>9781713809418</t>
  </si>
  <si>
    <t>2 September 2019 through 4 September 2019</t>
  </si>
  <si>
    <t>16th International Conference of the International Building Performance Simulation Association, Building Simulation 2019</t>
  </si>
  <si>
    <t>9781538665725</t>
  </si>
  <si>
    <t>9 December 2018 through 12 December 2018</t>
  </si>
  <si>
    <t>2018 Winter Simulation Conference, WSC 2018</t>
  </si>
  <si>
    <t>Arena;Bayer;Chalmers;et al.;Simio;The AnyLogic Company</t>
  </si>
  <si>
    <t>85QXA</t>
  </si>
  <si>
    <t>9781538654576</t>
  </si>
  <si>
    <t>21593442</t>
  </si>
  <si>
    <t>28 October 2018 through 31 October 2018</t>
  </si>
  <si>
    <t>2018 IEEE Region 10 Conference, TENCON 2018</t>
  </si>
  <si>
    <t>et al.;Jeju Convention and Visitors Bureau (CVB);JSC;Samsung Electronics;Samsung SDS;SK Hynix</t>
  </si>
  <si>
    <t>APEND</t>
  </si>
  <si>
    <t>03062619</t>
  </si>
  <si>
    <t>19493029</t>
  </si>
  <si>
    <t>14647141</t>
  </si>
  <si>
    <t>56100190200;57200672505;56467643700;57113137600;55612436600;</t>
  </si>
  <si>
    <t>9781728147215</t>
  </si>
  <si>
    <t>11 June 2019 through 12 June 2019</t>
  </si>
  <si>
    <t>TMIHF</t>
  </si>
  <si>
    <t>13602276</t>
  </si>
  <si>
    <t>Blackwell Publishing Ltd</t>
  </si>
  <si>
    <t>9781728119816</t>
  </si>
  <si>
    <t>4 August 2019 through 8 August 2019</t>
  </si>
  <si>
    <t>2019 IEEE Power and Energy Society General Meeting, PESGM 2019</t>
  </si>
  <si>
    <t>IEEE Computer Society</t>
  </si>
  <si>
    <t>9781728132839</t>
  </si>
  <si>
    <t>8 December 2019 through 11 December 2019</t>
  </si>
  <si>
    <t>2019 Winter Simulation Conference, WSC 2019</t>
  </si>
  <si>
    <t>9781728166674</t>
  </si>
  <si>
    <t>12 January 2020 through 15 January 2020</t>
  </si>
  <si>
    <t>2020 IEEE/SICE International Symposium on System Integration, SII 2020</t>
  </si>
  <si>
    <t>All Open Access, Gold</t>
  </si>
  <si>
    <t>1012277X</t>
  </si>
  <si>
    <t>South African Institute of Industrial Engineering</t>
  </si>
  <si>
    <t>9783030637989</t>
  </si>
  <si>
    <t>15 December 2020 through 17 December 2020</t>
  </si>
  <si>
    <t>2352409X</t>
  </si>
  <si>
    <t>STEVA</t>
  </si>
  <si>
    <t>00489697</t>
  </si>
  <si>
    <t>15483657</t>
  </si>
  <si>
    <t>JSEND</t>
  </si>
  <si>
    <t>07339445</t>
  </si>
  <si>
    <t>9781728145105</t>
  </si>
  <si>
    <t>12 November 2020 through 14 November 2020</t>
  </si>
  <si>
    <t>12th International Conference on Knowledge and Systems Engineering, KSE 2020</t>
  </si>
  <si>
    <t>9781450380614</t>
  </si>
  <si>
    <t>18 November 2020 through 20 November 2020</t>
  </si>
  <si>
    <t>7th ACM International Conference on Systems for Energy-Efficient Buildings, Cities, and Transportation, BuildSys 2020</t>
  </si>
  <si>
    <t>Association for Computing Machinery, Inc</t>
  </si>
  <si>
    <t>ACM EIG on Energy;ACM SIGARCH;ACM SIGBED;ACM SIGCOMM;ACM SIGMOBILE;et al.</t>
  </si>
  <si>
    <t>9781665448758</t>
  </si>
  <si>
    <t>18 October 2021 through 21 October 2021</t>
  </si>
  <si>
    <t>11th IEEE PES Innovative Smart Grid Technologies Europe, ISGT Europe 2021</t>
  </si>
  <si>
    <t>IEEE Power and Energy Society</t>
  </si>
  <si>
    <t>PNASA</t>
  </si>
  <si>
    <t>00278424</t>
  </si>
  <si>
    <t>National Academy of Sciences</t>
  </si>
  <si>
    <t>RCREE</t>
  </si>
  <si>
    <t>09213449</t>
  </si>
  <si>
    <t>57222145098;7405365321;24597397300;55715512300;57210991778;57210472543;55373025000;</t>
  </si>
  <si>
    <t>JMENE</t>
  </si>
  <si>
    <t>0742597X</t>
  </si>
  <si>
    <t>2214790X</t>
  </si>
  <si>
    <t>20452322</t>
  </si>
  <si>
    <t>Nature Research</t>
  </si>
  <si>
    <t>2-s2.0-85127680522</t>
  </si>
  <si>
    <t>Article in Press</t>
  </si>
  <si>
    <t>ESPLE</t>
  </si>
  <si>
    <t>09441344</t>
  </si>
  <si>
    <t>The efficacy of land-use changes on aquatic ecosystems has been extensively studied in recent decades. Water resource management needs to understand the relationship between land-use change patterns and water quality, especially in urban areas. Hence, recognizing spatial–temporal changes in land use is required for sustainable development and proper water resource management. This research has developed an integrated model based on agent-based model (ABM) and multi-layer perceptron (MLP) neural network technique to predict the future land-use transformation tested on the North Ahvaz watershed, Iran. Random forest-supervised classification technique was applied to derive the land-use maps using Landsat 1989, 2004, and 2019 images in the Google Earth Engine (GEE) platform. The overall accuracy of classified land-use images was 0.82, 0.81, and 0.84, respectively, with the kappa coefficient of 0.74, 0.72, and 0.78. Land-use change analysis and generating transition potential maps were carried out in land change modeler (LCM) through MLP based on seven driving factors. Then, the land-use map for 2019 (for validation) and 2040 was simulated using the transition potential map and an agent-based approach. The ABM scenario was farmers’ and urban landowners’ decisions to convert undeveloped and unprotected lands to residential lands. The results showed that residential areas and pasture lands would grow by 67.96 km2 and 64.63 km2, and agricultural and barren lands would degrade about 84.19 km2 and 47.98 km2 during 2019–2040, respectively. Predicting land-use change through the integrated MLP-ABM model may be used to evaluate the effects of land-use change coming out of human decision-making. © 2022, The Author(s), under exclusive licence to Springer-Verlag GmbH Germany, part of Springer Nature.</t>
  </si>
  <si>
    <t>https://www.scopus.com/inward/record.uri?eid=2-s2.0-85127680522&amp;doi=10.1007%2fs11356-022-19392-8&amp;partnerID=40&amp;md5=c565be53ef9750c0108096045cc0061d</t>
  </si>
  <si>
    <t>Environmental Science and Pollution Research</t>
  </si>
  <si>
    <t>57564580000;15063093300;6602310072;</t>
  </si>
  <si>
    <t>Hashemi Aslani Z., Omidvar B., Karbassi A.</t>
  </si>
  <si>
    <t>2-s2.0-85130498251</t>
  </si>
  <si>
    <t>JWRAF</t>
  </si>
  <si>
    <t>1093474X</t>
  </si>
  <si>
    <t>John Wiley and Sons Inc</t>
  </si>
  <si>
    <t>Efficiency; Irrigation; Water management; Water supply; Building types; Denver Water; Exploratory scenario; Housing density; Housing types; Per unit; Urban form; Water policies; Water use; Waters managements; Housing</t>
  </si>
  <si>
    <t>exploratory scenarios; housing types; urban form; water management; water policy</t>
  </si>
  <si>
    <t>This study examined simulated changes in total (and outdoor) water demand with increased dwelling units per unit area (DUUA) for seven building types (BTs) in the Denver Water service area. We utilized the Denver Water Demand Model — a spreadsheet tool that uses inputs such as BT, population, household size, number of units, etc. — to develop an “agent-based” simulator to permit scenario analyses of future water use for different mixes of BTs. We examined household “movement” for new residents from lower density to higher density classifications. Increased residential density can be achieved through multiple pathways. For instance, a family could move from a large single-family (LSF) unit to a single-family home with a smaller lot footprint (SSF). Or, a family could move into a multi-family housing development from a SSF. Our results suggest uneven, nonlinear efficiency gains in water use with increased density, depending on the specific BT movements. Simulation outputs indicate that the greatest gains in water savings per unit change in DUUA can be achieved with short movements over the lowest density classes (e.g., LSF to a SSF). In addition, results suggest that increasing irrigation efficiency (less water applied per unit area irrigated) may decrease total residential water demand by 5% to 25% over baseline; efficiency of irrigation may prove to be as effective, if not more, at reducing residential water demand as increasing housing density. © 2022 American Water Resources Association.</t>
  </si>
  <si>
    <t>https://www.scopus.com/inward/record.uri?eid=2-s2.0-85130498251&amp;doi=10.1111%2f1752-1688.13009&amp;partnerID=40&amp;md5=dee144a1099d924c543a166ef5253089</t>
  </si>
  <si>
    <t>Journal of the American Water Resources Association</t>
  </si>
  <si>
    <t>55214688900;7004071741;57701477500;</t>
  </si>
  <si>
    <t>Sampson D.A., Quay R., Horrie M.</t>
  </si>
  <si>
    <t>23284277</t>
  </si>
  <si>
    <t>57226757504;57257236100;57256664900;56571649700;57217677205;57205608527;55068146500;56166894600;57226876530;7005362989;57214835045;9536316300;</t>
  </si>
  <si>
    <t>ECENE</t>
  </si>
  <si>
    <t>09258574</t>
  </si>
  <si>
    <t>Computational methods; Energy utilization; Investments; Simulation platform; System theory; Agent-based model; Degree of satisfaction; Energy; Energy-consumption; Fuzzy optimization; Uncertainty; Water and energies; Water consumption; Water energy; Water–energy nexus; Autonomous agents; drag coefficient; efficiency measurement; optimization; simulation; spatiotemporal analysis; uncertainty analysis; China; Tianjin</t>
  </si>
  <si>
    <t>2-s2.0-85132361829</t>
  </si>
  <si>
    <t>23525509</t>
  </si>
  <si>
    <t>Autonomous agents; Commerce; Computational methods; Environmental management; Fruits; Gas emissions; Greenhouses; Population statistics; Python; Risk perception; Simulation platform; Water management; Water supply; Agent-based model; Food loss; Food quality; Food sector; Food security; Food system; Greenhouse gas emissions; Modeling approach; Virtual water; Water security; Greenhouse gases</t>
  </si>
  <si>
    <t>Agent-based modelling; Food loss; Food quality; Food security; Virtual water</t>
  </si>
  <si>
    <t>Maintaining the consistent provision of food is becoming a persistent challenge in the light of increasing demands for resources and the multiple risks governing food systems. These include population growth, market volatilities, changing climate and the lack of coordination amongst involved stakeholders. Dynamic and interactive simulation models have demonstrated their utility for developing possible scenarios related to the food sector's subsystems, allowing stakeholders to understand their outcomes, should they occur, and make efficient and sustainable decisions that potentially alleviate the risks. This study proposes an Agent-based model (ABM) that supports informed decision-making through allowing the simulation of multiple scenarios that can potentially influence the food system's strategies and actions. The framework is illustrated considering the economic actors within Qatar's food sector, with a special focus on delivering products in high demand, such as the tomato crop. The model was implemented using the Python-based Mesa library, and it simulates interactions between domestic farmers, local importers, and international exporters to assess the performance of the food sector considering economic, environmental and social scenarios. Scenario (1) describes the baseline case wherein local farmers and importers are acting independently with the aim to maximise their individual profits. Scenario's (2) and (3) represent enhancement plans that foster collaboration, water security and improved food quality. Findings of this study assert that from an economic standpoint, the food system can supply 75% of the market with imported tomatoes, as for the remaining 25%, it can be provided through national farms, with a 76% contribution of greenhouses and 24% open fields. This option offers the minimum economic cost and the lowest Greenhouse Gas (GHG) emissions. However, this perspective implies massive food losses and relatively high-water consumption. Scenario 2, which advocates a full reliance on imports offers a costly monthly strategy in terms of economic expenses and environmental emissions, however, it results in considerable water savings that relieve the strain on the local water supply system. When implementing a plan driven by quality consideration (scenario 3), the reliance on imports reaches up to 82%, and the remaining local produce is mostly supplied by greenhouses, with approximately 78%, leading to quality improvement and a substantial decrease in food losses yet at the expense of both the economic and environmental performance. These results confirm that aspiring water security and social welfare while provisioning food products requires tremendous investment and might lead to significant GHG emissions. The framework developed in this study provides a generic and interactive decision-making scheme that can assist in undertaking future decisions considering economic and environmental constraints and market-driven specifications. © 2022 Elsevier Ltd</t>
  </si>
  <si>
    <t>https://www.scopus.com/inward/record.uri?eid=2-s2.0-85132361829&amp;doi=10.1016%2fj.spc.2022.05.017&amp;partnerID=40&amp;md5=4e0bea9194ecbb413ca9ff1bc0b4c270</t>
  </si>
  <si>
    <t>10.1016/j.spc.2022.05.017</t>
  </si>
  <si>
    <t>32</t>
  </si>
  <si>
    <t>Sustainable Production and Consumption</t>
  </si>
  <si>
    <t>Developing intelligence in food security: An agent-based modelling approach of Qatar's food system interactions under socio-economic and environmental considerations</t>
  </si>
  <si>
    <t>57194158767;34881705900;57219452954;35589250700;7003280610;57156426600;56223885400;</t>
  </si>
  <si>
    <t>Namany S., Govindan R., Di Martino M., Pistikopoulos E.N., Linke P., Avraamidou S., Al-Ansari T.</t>
  </si>
  <si>
    <t>Language of Original Document</t>
  </si>
  <si>
    <t>CODEN</t>
  </si>
  <si>
    <t>Conference code</t>
  </si>
  <si>
    <t>Conference location</t>
  </si>
  <si>
    <t>Conference date</t>
  </si>
  <si>
    <t>Conference name</t>
  </si>
  <si>
    <t>Sponsors</t>
  </si>
  <si>
    <t>Using Multiagent Negotiation to Model Water Resources Systems Operations</t>
  </si>
  <si>
    <t>Amigoni, Castelletti, Gazzotti, Giuliani, Mason</t>
  </si>
  <si>
    <t>Berglund</t>
  </si>
  <si>
    <t>Using Agent-Based Modeling for Water Resources Planning and Management</t>
  </si>
  <si>
    <t>Multi-method Modeling Framework for Support of Integrated Water Resources Management</t>
  </si>
  <si>
    <t>Nikolic</t>
  </si>
  <si>
    <t>Analytical Support for Integrated Water Resources Management: A New Method for Addressing Spatial and Temporal Variability</t>
  </si>
  <si>
    <t>Valkering</t>
  </si>
  <si>
    <t>Modelling Cultural and Behavioural Change in Water Management: An integrated, agent-based, gaming approach</t>
  </si>
  <si>
    <t>Kanta2015</t>
  </si>
  <si>
    <t>Exploring Water Conservation Behavior through Participatory Agent-Based Modeling</t>
  </si>
  <si>
    <t>Rixon, A.; Moglia, M.; Burn, S.</t>
  </si>
  <si>
    <t>Perugini, D.; Perugini, M.; Young, M.</t>
  </si>
  <si>
    <t>Water Saving Incentives: An Agent-Based Simulation Approach to Urban Water Trading</t>
  </si>
  <si>
    <t>No human agents</t>
  </si>
  <si>
    <t>Sampson2022</t>
  </si>
  <si>
    <t>Xiao, Y., L. Fang, and K.W. Hipel</t>
  </si>
  <si>
    <t>Agent-Based Modeling Approach to Investigating the Impact of Water Demand Management</t>
  </si>
  <si>
    <t>Touringy</t>
  </si>
  <si>
    <t>AGENT-BASED MODELLING AS A DECISION SUPPORT TOOL FOR  WATER RESOURCES PLANNING AND MANAGEMENT</t>
  </si>
  <si>
    <t>Social environment in grid with neighbors, no technical environment modeled. Government as environment.</t>
  </si>
  <si>
    <t>See (Zechmann 2010, Shafiee 2010) + weight, age and gender of consumers as regressors + adjusted (stochastical) model for change of demand. ( different groups/consumption decision)</t>
  </si>
  <si>
    <t>Rasoulkhani, Logasa</t>
  </si>
  <si>
    <t>Zechman 2011 + response to announcements by health officials (i.e. policy), diurnal patterns (different for different nodes)</t>
  </si>
  <si>
    <t>See Zechman 2010</t>
  </si>
  <si>
    <t>Zechman 2011 +socio-economic data+ response to announcements by health officials (i.e. policy), diurnal patterns (different for different nodes)</t>
  </si>
  <si>
    <t>Daily water demand based on decisions of households (stationary agent = cellular automata) to adopt water reuse which replaces outdoor demand. (indoor and outdoor demands stay the same). Input parameters: structure of housing, neighbor opinions, daily indoor- and outdoor demands.</t>
  </si>
  <si>
    <t>No agent based modelling</t>
  </si>
  <si>
    <t xml:space="preserve">No Validation or sensitivity analysis reported. </t>
  </si>
  <si>
    <t>No validation or sensitivity analysis reported.</t>
  </si>
  <si>
    <t>Water saving under water trading scheme. Low realism, yearly water demand, prediction.</t>
  </si>
  <si>
    <t>Spatial, social, technical: non.</t>
  </si>
  <si>
    <t>A: agent = household. input: income, water price, social pressure, socio-economical, structure of housing, outdoor demand, beliefs. output: aggregated water demand. Structure: B: agent = person. input: water belief, water level in dam, social inputs of memes, outdoor demand, weather, policy. output: consumption decision. function: adoption is "costly" aka needs a certain level of water concern. opinions in a household converge.</t>
  </si>
  <si>
    <t>Policy to support adoption of water saving devices (prediction). High realism model, yearly time steps.</t>
  </si>
  <si>
    <t>Validation: verification and comparison of findings to literature on the topic. Sensitivity analysis: variation of policies, assumed variables and social network structures.</t>
  </si>
  <si>
    <t>Nature of model</t>
  </si>
  <si>
    <t>López-Paredes, Adolfo and David Saurí and José M. Galán</t>
  </si>
  <si>
    <t>Edwards, Margaret and Nils Ferrand and François Goreaud and Sylvie Huet</t>
  </si>
  <si>
    <t>Model No.</t>
  </si>
  <si>
    <t>Stochastic model, high-realism model, prediction, monthly, demand management/policy</t>
  </si>
  <si>
    <t>The notes taken about the content of each record and the connection between multiple records containing the same models can be found in the sheet "Aggregation".</t>
  </si>
  <si>
    <t>This Excel Sheet is supplementary material to the paper "Modeling and validation of residential water demand in agent-based models - a systematic literature review" by Sattler, B.J.; Friesen, J.; Tundis, A.; and Pelz, P.F..</t>
  </si>
  <si>
    <t>It represents the original Worksheets used to collect, classify and annotate the records surveyed for the writing of the paper.</t>
  </si>
  <si>
    <t xml:space="preserve">Since this work sheet illustrates the methods used in data collection and annotation, it was not subjected to the same standards of internal review and curation as the main text of the publication. </t>
  </si>
  <si>
    <t>We thank the reader for the interest in the details of the collected data.</t>
  </si>
  <si>
    <t>The first pages "Scopus" and "Web of Science" represent the export data generated by the respective data bases searches. "Other sources" indicates the records identified by the snowball search.</t>
  </si>
  <si>
    <t>Disaggregated Household demand, Split in 4 practices: personal hygiene, laundry, dishwashing and a specific use. Stochastic frequency according to reference studies, length and flow of use fixed (Poisson distributed. Simulation of standard consumption schedules. Parameters: age (predicts whether people are at home/at work), number of people in household. Theory of planned behavior (mentioned, not explained)</t>
  </si>
  <si>
    <t>Focus is One household; hence Environment is given by that household and Seasonal temperatures. (Temperature has no effect on water demand but on demand for heating said water)</t>
  </si>
  <si>
    <t>Empirical Test Data using Smart meters, Statistical properties/Tests of aggregated demand using multiple statistical measures (Average, std. dev., min, max, Kurtosis, Kruskal-Wallis Test, Moods median test, Total). No sensitivity analysis.</t>
  </si>
  <si>
    <t>Prediction of hourly water demand, middle range model. Forecast and understand behavior for demand side management</t>
  </si>
  <si>
    <t>Framework for modeling (hourly) water demand. Probabilistic length and onset of water consumption based on use of fixtures. Fixture use of single persons based on age and occupational status of inhabitants. Temperature is also included in parameters; functional relationship is not reported.</t>
  </si>
  <si>
    <t>No quantitative validation.</t>
  </si>
  <si>
    <t>"the spatial modalities of the house and the 
neighborhood are neglected (and will be catered in future). We calculate the water use of individuals, 
households and the neighborhood through the summation of individual water use per unit time." In- and outflows of water reservoirs are modeled.</t>
  </si>
  <si>
    <t>Functional relationships are not reported.</t>
  </si>
  <si>
    <t>Monthly forecast, prediction, high realism. Water pricing policy for demand side management</t>
  </si>
  <si>
    <t>Personal monthly demand: Linear/cubic regression, independent (input) variables: Price, Community-influence (agent specific "sight limit"), idiosyncratic offset (i.e. minimal demand), error term, different social groups (e.g. opinion leaders/seekers), opinion influenced by policy</t>
  </si>
  <si>
    <t>Society connected in a grid, no specific urban environment, tax policy and water distributors as other agents</t>
  </si>
  <si>
    <t>Direct and indirect Calibration of Demand Model based on previous econometric studies in specific urban environment (Thessaloniki) -&gt; historical consumption, surveys, meteorological data. Face validation of aggregated result on calibration data set (years before 2000)</t>
  </si>
  <si>
    <t>Prediction, monthly demand, high realism. Prediction of water use/stress under climate change and structural changes.</t>
  </si>
  <si>
    <t>Decision (output): Buying Rain-water-harvesting System, Water saving behavior, switching to water saving appliances. Input parameters: drinking water price, water scarcity warnings (policy), air temperature, lifestyle/milieu, collaborators (i.e. social network). Decision structure: take-the-best heuristic OR theory of planned behavior (in this model called “rational choice”). Agent: representative household on a 1square-km area, fixed position</t>
  </si>
  <si>
    <t>Map of southern Germany, social network structure: small world, coupled to behavioral/milieu properties. Water levels are reactive to consumption change, also different actors and sub modules are included.</t>
  </si>
  <si>
    <t>Validation: Due to poor Data availability validation on multiple levels, mostly by confirmation with expert interviews and marketing data for behavior/technology adoption. Validation/Calibration not clearly separable.</t>
  </si>
  <si>
    <t> See Barthel 2008</t>
  </si>
  <si>
    <t>Monthly, high-realism, prediction</t>
  </si>
  <si>
    <t>Consists of 3 sub-models: risk perception, innovation diffusion and water use, Monthly water demand dependent on milieu, external factors (i.e. Policy), adoption of water saving technology.</t>
  </si>
  <si>
    <t>Technical and natural environment. See Barthel et al. 2008. Additional: Tourism Model.</t>
  </si>
  <si>
    <t>See Barthel et al. 2008</t>
  </si>
  <si>
    <t>Two different models: Model A: municipalities water demand under interaction and policy (prediction), middle range model, monthly water demand. Model B: Water quality and pollution, hence residential demand isn’t modeled. -&gt; Model B is not investigated further</t>
  </si>
  <si>
    <t>A: 1 agent = 1 household. Input: number of agents, indoor demand, outdoor demand, Policy. Output: appliances and demand behavior. Function: decisions to switch to lower levels of demand.</t>
  </si>
  <si>
    <t xml:space="preserve">A: technical: mass balance on reservoir and water shed.  Spatial: non. Social: 2 random connections. </t>
  </si>
  <si>
    <t>A: some sensitivity analysis for initial conditions, no validation reported.</t>
  </si>
  <si>
    <t>Prediction, daily demand, high realism. Water demand management under policy and technology diffusion.</t>
  </si>
  <si>
    <t>Agent attributes: Housing category, monthly income, neighborhood weight, appliance ownership and appliance years of use, also heterogeneous in decision structure Decisions: appliance end use frequency, type of water appliance, water reuse. Decision made either at random, "habitual rule" or based on economic decisions, which includes personal preferences. Stochastic decisions.</t>
  </si>
  <si>
    <t>Spatially explicit, random distribution leading to neighborhoods. no effect of social structure. Government incentives for devices. Technical environment not modeled.</t>
  </si>
  <si>
    <t xml:space="preserve">Model Building: some parameters based on socio-economic/census data, some values are set according to studies/ expert opinion. Further parameters by sensitivity analysis, also discussion of sensitivity of different parameters. Validation: Comparison of simulated values to historic values of aggregated water demand. Calibration until 1994, validation on 1995-2000. </t>
  </si>
  <si>
    <t>Predictive model, quarter-yearly, high realism. Infrastructure planning</t>
  </si>
  <si>
    <t>Stochastic, heterogeneous demands (used the distribution of demand, allocated randomly according to this distribution and a usage category of the household). Exact use of explanatory factors is not reported. included factors are: preferences, practices relating to resource usage, beliefs and goals, social interactions, sociological data.</t>
  </si>
  <si>
    <t>Spatial environment (map) of a specific town, movement in environment, no manipulation of environment due to agent behavior (not clearly reported), social and technical environment probably modeled (also not clearly reported)</t>
  </si>
  <si>
    <t>Validation: internal verification (checking against water meter readings and surveys) and "general matching of model outputs to real world housing development"</t>
  </si>
  <si>
    <t>Prediction, monthly, high realism. Water demand policy and stress.</t>
  </si>
  <si>
    <t>Decision: Cooperation/non-cooperation. Input: benefit of Cooperation (i.e. peer pressure), hydrological conditions -&gt; rainfall, Temperature, advertisement, income, Cost of water, minimum demand. Stochastic function (logistical function), monthly time steps. Each household (agent) is representative of a 250x250m square cell</t>
  </si>
  <si>
    <t>Hydrological data and social environment (closeness) from Tehran map.</t>
  </si>
  <si>
    <t>Validation: 2 approaches: 1. Cross Validation on historical time series of monthly per capita water demand &amp; 2. fixed calibration, validation and test sets (time periods) Evaluation based on RMSE, MAE and Tracking signal</t>
  </si>
  <si>
    <t>Validation</t>
  </si>
  <si>
    <t>Mid-range detail model, monthly water demand, prediction of water demand under the diffusion of water saving technologies</t>
  </si>
  <si>
    <t>1 agent = 1 household. Decision: water saving behavior and devices. Input: existing habits and devices, social influence, policy influence. Decision based on "Endorsement mechanism” (Cohen 1985)</t>
  </si>
  <si>
    <t>Technical: simple (ground water based on weather data and outflow). Spatial: 2D Grid. Social: neighbors in grid</t>
  </si>
  <si>
    <t>Qualitative validation on stylized facts/patterns (leptokurtosis/heavy tails) and expert opinion.</t>
  </si>
  <si>
    <t>Demand of heterogeneous agents (different water appliances) representing households decide on frequency and volume of appliance use. Input: Neighbors (especially similar neighbors), weather, policy, memory.</t>
  </si>
  <si>
    <t>Generic torus or Euclidian grid, neighborhoods either cross- or square-shaped. Ground water levels dependent on aggregated demand and weather data, which influence government behavior which influences agents' water use.</t>
  </si>
  <si>
    <t>Validation: emphasizes how variation in assumptions brings changes to model outcome, but is not focused on outcomes themselves (no comparison to data). Monitored outcomes are aggregated water demand and reserves and volatility of those.</t>
  </si>
  <si>
    <t>For Validation see Moss, Edmonds 2005 (not surveyed since it’s not available)</t>
  </si>
  <si>
    <t>Demand reconstruction = descriptive model, hourly demand, middle range model</t>
  </si>
  <si>
    <t>Descriptive model, monthly demand, middle range model. Model building/theory</t>
  </si>
  <si>
    <t>Descriptive model, Stochastic Model, monthly water demand, middle-range-realism. Model building/theory</t>
  </si>
  <si>
    <t>Youngs model (stochastic): peer pressure (cooperation decision), resource status (scarcity)</t>
  </si>
  <si>
    <t>Social: random network. Spatial: non. Technical: Basin mass balance, environment by historical weather data.</t>
  </si>
  <si>
    <t>Validation: no formal validation or comparison to data. Sensitivity analysis: differing effects of "degree of uncertainty" i.e. stochasticity</t>
  </si>
  <si>
    <t>Prediction, weekly, high-realism. Evaluating retooling /infrastructure planning for shrinking cities</t>
  </si>
  <si>
    <t>Individual Water demand: based on price elasticity and price changes. Infrastructure retooling is depended on support of the people. Support according to diffusion/adoption theory and emigration of leaving citizens. Homogeneous agents, stochasticity in population migration but not (directly) in agent behavior.</t>
  </si>
  <si>
    <t>Adoption of support through society (no specific network), no technical infrastructure besides Infrastructure costs.</t>
  </si>
  <si>
    <t>Conceptual validation through interviews with experts, operational validation through stable outcomes in simulations, plausibility checking through parameter checking. Validation with a specific instance and historical data is claimed, but no figures or data is given. Further the conclusions of the model are validated against existing literature and findings.</t>
  </si>
  <si>
    <t>Prediction, quarter-yearly time step, high realism. prediction of water demand under the diffusion of water saving technologies</t>
  </si>
  <si>
    <t>Map of Valladolid, imported from GIS Data, representing Buildings. Social Structure based on Map (same Building Block or adjacent in the Voronoi Diagram) and urban migration</t>
  </si>
  <si>
    <t>[A tool] to understand some aspects about the global behavior of 
the system in those situations that can be considered of greater interest (because of 
their plausibility, their criticalness or any other reason that justifies a detailed analysis), the scenarios.  -&gt; Stochastic, heterogeneous agents, representing families, multiple linear regression. Output: demand, behavior, location and appliances. Input: socio-economic data and household typology. Urban dynamics: Benensons model. Behavior diffusion: Youngs model. Technological diffusion: Bass Model.</t>
  </si>
  <si>
    <t>See Galan 2008</t>
  </si>
  <si>
    <t>Linear regression of 3-monthly demand Data. Result: 5 categories of households, mean consumption + standard deviation as estimator + environmentalist (water saving)/non-environmentalist behavior.</t>
  </si>
  <si>
    <t>Validation: based on empirical data following the modeling and checking if scenarios align with data/seem plausible.</t>
  </si>
  <si>
    <t>Spatial = grid. Social: random selection of direct (Moore) neighbors in the grid. Technical: water reservoirs (mass balance: use, desalination, rain).</t>
  </si>
  <si>
    <t>Validation: Participatory methods and interviews with experts. Sensitivity analysis: three different scenarios (policy measures) under three different climatic profiles</t>
  </si>
  <si>
    <t>Diffusion of water conservation behavior according to Edwards 2005/Young 1999 model. Model structure apparently similar to Lopez-Parades 2005</t>
  </si>
  <si>
    <t>Model of Barcelona to evaluate policy for water conservation (prediction). 1 agent = 1 family. Input: water price, gross income, number of members, social class, previous consumption, housing type (indicating the appliances), evolution of water reservoirs in the region, social influence. Migration based on Benenson and Schelling, i.e. random remigration</t>
  </si>
  <si>
    <t>See Giacomoni 2013. Additional parameters based on Census Data (rooftop and household size)</t>
  </si>
  <si>
    <t>Monthly, prediction, middle range model. Demand- supply side management</t>
  </si>
  <si>
    <t>Based on (Kanta and Zechman 2011 -&gt; published 2014 "Complex adaptive Systems framework...) and (Jacobs and Haarnoff 2004), stochastic monthly demand pattern, outdoor and indoor use, outdoor use dependent on hydrological and policy variables, indoor use based on lot size</t>
  </si>
  <si>
    <t>Complex environment (separate models for Land use, migration, reservoir model and policy), specific urban environment used</t>
  </si>
  <si>
    <t>Prediction, monthly demand, high-realism</t>
  </si>
  <si>
    <t>Stochastic, heterogeneous agents. Demand estimate Parameters: Indoor: household size, water use frequency, flow rate. Outdoor: The Demand is then modeled through a gamma fitted function so that the Over- or under watering behavior, lawn surface, evaporation and rain. expected demand is the expected value of the gamma function. Adoption of Technology: based on word of mouth, incentives and threshold rules.</t>
  </si>
  <si>
    <t>Model Building: Direct parametrization of Model through reference literature (Jakobs, Haarfoff 2004), further Parameters indirectly calibrated through Water billing data of specific households that are modeled. Validation: not stated.</t>
  </si>
  <si>
    <t>Arlington Model</t>
  </si>
  <si>
    <t>Monthly demand, prediction, high-realism</t>
  </si>
  <si>
    <t>Stochastic household water consumption (i.e.: linear regression). Indoor use: Based on housing type, inhabitants, based on stochastic end use model of appliances and appliance retrofit, not effected by policy. Outdoor: irrigated area, affected by policy.</t>
  </si>
  <si>
    <t>Water reservoir model (mass balance) and water utility manager (policy responding to droughts), not spatially explicit but irrigated areas are calculated on specific regional data. Hydrological data based on time series and referenced stochastic simulations for future data</t>
  </si>
  <si>
    <t>Model Building: Values based on referenced studies in other regions. Validation of reservoir Output, reservoir storage and total demand (aggregated statistics) based on multiple quantitative measures (relative error, percent bias ad Nash-Sutcliffe efficiency). two of those time series are used to simulate the third which is used for the comparison to the empiric data.</t>
  </si>
  <si>
    <t>Complex Adaptive Systems Framework to Assess Supply-Side and Demand-Side Management for Urban Water Resources</t>
  </si>
  <si>
    <t>See Kanta 2015</t>
  </si>
  <si>
    <t>See Arlington Model</t>
  </si>
  <si>
    <t>See (Zechman 2010, Shafiee 2010)</t>
  </si>
  <si>
    <t>Virtual urban environment (water distribution system, spatially explicit), information policy</t>
  </si>
  <si>
    <t>Weight, age and gender of consumers based on national (US) Data, no validation in this study.</t>
  </si>
  <si>
    <t>Contamination model, extends Zechman 2010 "Integrating complex adaptive system
simulation and evolutionary computation to support
water infrastructure threat management."</t>
  </si>
  <si>
    <t>See Zechman 2010, "to quantify the significance of interactions and advisories on public health
consequences"</t>
  </si>
  <si>
    <t>Some sensitivity analysis of different consumption logics, discussion of resulting demand patterns. No formal validation.</t>
  </si>
  <si>
    <t>Contamination Model (Zechman 2011)</t>
  </si>
  <si>
    <t>Probabilistic consumption (1 person = 1 agent), five times a day (amount based on census data), reduction of consumption after exposure (to minimum demand), reduction through word-of-mouth, random relocation to residential and non-residential nodes.</t>
  </si>
  <si>
    <t>Technical environment (EPANET water distribution system), spatially explicit (Micropolis), Social network based on families and people on the same node.</t>
  </si>
  <si>
    <t>No Validation or sensitivity analysis reported. Repeated simulation because stochastic variability.</t>
  </si>
  <si>
    <t>Threat management for public service and health under contamination event (prediction), hourly time horizon, spatially explicit on example city (Micropolis) but not real world specific, management of water distibution system.</t>
  </si>
  <si>
    <t>Bi-monthly, prediction, high-realism model. Water (rights) trading</t>
  </si>
  <si>
    <t>Water right use and trading of households. Determinants of Water use: Minimal (non-tradable) demand, Income/price, People per household, household size (Space), deterministic model.</t>
  </si>
  <si>
    <t>No specific real environment, bimonthly allocation of Water rights and Walrasian auctioneer in the agent-based model.</t>
  </si>
  <si>
    <t>No formal validation.</t>
  </si>
  <si>
    <t>Prediction, monthly, high-realism model. Policy to incentivize adoption of water saving fixtures</t>
  </si>
  <si>
    <t>Decision: Each time step one conservation action or retrofit can be adopted, which? -&gt; stochastic. Adoption yes/no? -&gt; attitudes, encouragement by government, social pressure and relevance of peer pressure. Water demand parameters: Indoor: appliances*use frequency outdoor: Area, Efficiency, evaporation (land and vegetation characteristics)</t>
  </si>
  <si>
    <t>No relevance of technical System, Environment relevant for "neighborhood" relations, different relations tested (isolated, blended, and global neighborhoods)</t>
  </si>
  <si>
    <t>Validation: individual households against water billing data</t>
  </si>
  <si>
    <t>Predict household adoption of reclaimed water and the dynamics of the hydraulic system, daily demand, spatially explicit (specific map), stochastic.</t>
  </si>
  <si>
    <t>Technical: EPANET simulations for both potable and reclaimed water systems. Spatial: map according to a specific city. Social: spatial neighbors</t>
  </si>
  <si>
    <t>Calibration of technology adoption. Comparison to observed behavior on mean average error. (Parameter restriction, quantitative approach, only on an accumulated level, no distinct data set). SA for the discussion of the effects of different parametrizations. No formal validation</t>
  </si>
  <si>
    <t>Daily demand, prediction, high-realism. Water provision for (severely) water stressed area</t>
  </si>
  <si>
    <t>Function: non- linear econometric regression. Input: household size, education, housing type and price. Subject to water storage constraint. -&gt; water demand under price for piped water -&gt; available piped water -&gt; residual demand under (more expensive) tank water</t>
  </si>
  <si>
    <t xml:space="preserve">Validation: Sensitivity analysis for "theoretical consistency" (i.e. verification), Comparison of per capita income to empiric data, discussion of deviation. (no validation of water demand functions) </t>
  </si>
  <si>
    <t>Validation in Yoon et al.</t>
  </si>
  <si>
    <t>See Yoon et al.</t>
  </si>
  <si>
    <t>Prediction, high-realism, monthly demand</t>
  </si>
  <si>
    <t>Urban water users: Demand based on econometric function (linear regression with linear and logarithmic parameters) Piped water according to availability, tank water as residual demand. Input parameters: Income and socio-economic factors.</t>
  </si>
  <si>
    <t>Extensive technical, natural and social reactive environment build according to the country of Jordan/ City of Amman</t>
  </si>
  <si>
    <t>See Klassert 2015</t>
  </si>
  <si>
    <t>Monthly demand, high-realism, prediction. Planning of water demand management.</t>
  </si>
  <si>
    <t>Stochastic monthly demand (due to billing data), heterogeneous agents. Three key submodules: the social impact procedure, the water demand behavior procedure and the water demand behavior review procedure. Social Impact procedure: Theory of Social Impact (Nowak et al. 1990) -&gt; Attitude, probability for attitude change based on logarithmic function. Further Parameters for social impact: social distance and attitude difference to peers. Behavior based on theory of planned behavior (also stochastic model). Perceived behavioral control based on comparison of agent intention and effect on water bill in previous billing cycle. Chosen water demand model -&gt; technical model (bottom up/appliance-based model) use frequencies influenced by seasonality and weather (essential and non-essential/variable demand). -&gt; for each time step the water demand is homogeneous between agents with same properties (occupants, attitudes, water user type). Change between those properties is simulated.</t>
  </si>
  <si>
    <t>Social environment (Small world and scale free social networks), government policy (restrictions, penalties). No technical System modeled. No spatial environment.</t>
  </si>
  <si>
    <t>Validation: Latin hyper cube sampling of selected (uncertain) parameters -&gt; indirect Calibration, after that: Validation of Model Fit to oscillations (patterns) using 2 quantifications (MAPE and Nash-Sutcliffe coefficient) of aggregated water demand.</t>
  </si>
  <si>
    <t>See Koutiva et al. 2016</t>
  </si>
  <si>
    <t>Hourly demand, middle-range model, descriptive model. Demand management</t>
  </si>
  <si>
    <t>Water demand based on consumption decisions (body cleaning and type of cleaning, doing laundry, washing dishes, eating/drinking, eliminating). Decisions are stochastic and probabilities are dependent on attitudes (influenced by water saving campaigns), existence of a water meter, state of employment and age.</t>
  </si>
  <si>
    <t xml:space="preserve">A single residential building is simulated. No emphasis is put on technical components or spatial environment. Further Environment: government policies/ campaigns. </t>
  </si>
  <si>
    <t>Validation: Comparison of average daily water consumption model output and observed values and use for categories. No measures of model fit.</t>
  </si>
  <si>
    <t>Social: Strogatz network and government policies. Water balance of reservoir is calculated, technical functionality of water distribution system  not modeled, spatial map</t>
  </si>
  <si>
    <t xml:space="preserve">Stochastic model. Use behaviors categorized into resident-associated and household associated behaviors. Variables in water demand: socioeconomic factors and water appliances, outdoor use/House size, activities/ location, diurnal patterns. </t>
  </si>
  <si>
    <t>Technical: freshwater and wastewater water distribution system.</t>
  </si>
  <si>
    <t>Validation: non. Sensitivity analysis: none. (repeated simulation to even out stochastic uncertainty)</t>
  </si>
  <si>
    <t>Model to forecast water demand to compare planning models for water distribution system. Case study for Beijing, hourly, forecast. Model to forecast water demand to compare planning models for water distribution system.
(Sub-)hourly water demand model.</t>
  </si>
  <si>
    <t>High-realism, prediction, monthly time steps. Resource planning/management.</t>
  </si>
  <si>
    <t>Municipal demand = people*demand/person -&gt; only location decision. Input: water withdrawal per availability. Continuous variable (system dynamics). Deterministic behavioral rules but stochasticity in weather model.</t>
  </si>
  <si>
    <t>Spatially explicit (map).  Technical: mass balances (reservoir, groundwater etc.)</t>
  </si>
  <si>
    <t>See Nikolic 2012</t>
  </si>
  <si>
    <t>Prediction, low realism. Model building/theory.</t>
  </si>
  <si>
    <t>Stochastic model of migration patterns under different behaviors regarding water demand and "cultural" mixing, generic model. Water "demand": available water is divided by the number of agents in a region, their incentive is to always use "more" water, i.e. maximize their utility where water is one positive-utility good.</t>
  </si>
  <si>
    <t>Generically spatially explicit (1D), social environment, no government/technical infrastructure but differing water availability between regions.</t>
  </si>
  <si>
    <t>Sensitivity Analysis with extensive discussion of (basically) all variables, different structures and resulting patterns. No "validation" since no comparison with real world behaviors.</t>
  </si>
  <si>
    <t>Our classification criteria do not really fit this model. E.g.: time increments do not matter as much, since the model is highly stylized</t>
  </si>
  <si>
    <t>Monthly, prediction, high-realism. Water demand management.</t>
  </si>
  <si>
    <t>Model building utilizing surveyed data of the modeled area (Tucson Arizona). Calibration and Validation through Parameter variation, comparison to aggregate water use of the modeled area.</t>
  </si>
  <si>
    <t>Social Environment: spatial neighbors and some random connections (for small-world properties). Technical model: hydrologic model of specific environment.</t>
  </si>
  <si>
    <t>Regression of water consumption by baseline demand and variation through correction factors. Input variables: price, social influence, exogeneous effects (such as changes in water company policy), deviation of temperature and precipitation from baseline, seasonality and noise. Output can be used in shorter durations, such as daily "ticks". Price expectations are adjusted over the simulation, hence "learning" agents. 1agent = 1 household.</t>
  </si>
  <si>
    <t>Further research planned/referred to, focus of the paper is mostly on the behavioral model and the use of High-Performance-Computing due to computation needs. Discussion of Sensitivity analysis (i.e.: "model is not sufficient yet").</t>
  </si>
  <si>
    <t>Prediction, monthly demand, middle-range model. Water demand management/ policy.</t>
  </si>
  <si>
    <t>Future water demand under different demographic trends. Data used from Barcelona but not specifically modelling Barcelona. heterogeneous agents (1 agent = 1 Household) (convictions, people, income), choose low- and high-flow fixtures and water-saving and non-saving behavior (fixed values for demand for each case), influenced by own convictions and social circle (theory of planned behavior). Parameters: Income, number people, Housing type, Value Profile, water habits, technologies, seasonality. Agent behavior is deterministic, distribution of traits is probabilistic -&gt; deterministic demand function. Outdoor use implicitly modeled through structure of housing.</t>
  </si>
  <si>
    <t>Non-specific metropolitan environment, not spatially explicit, social environment: small world network (Watts-Strogatz).</t>
  </si>
  <si>
    <t>No formal validation. Discussion of effects of some of the assumptions, yet no comparison to empirical data.</t>
  </si>
  <si>
    <t>Agent= household, input: price etc., socio-economic factors. Output: aggregated water demand. Function: trades according to economic considerations.</t>
  </si>
  <si>
    <t>No validation, sensitivity analysis of policy parameters without quantification of effects.</t>
  </si>
  <si>
    <t>High-realism, prediction, monthly. Scientific advancement.</t>
  </si>
  <si>
    <t>Stochastic Model for predicting monthly appliance adoption (cooperation/non-cooperation decision) behavior for varying climate scenarios. Input factors: Drought, neighbor behavior, other unspecified factors. Decision: Technology (Appliance) adoption, whether to communicate with others. Agent = 100 households.</t>
  </si>
  <si>
    <t>Population growth, Watts-Strogatz social network, no spatial environment.</t>
  </si>
  <si>
    <t>Validation: Nash-Sutcliffe (similar to Koutiva model)</t>
  </si>
  <si>
    <t>Expansion of Edwards/ Young Model used in Galan et al., good documentation in supplementary material.</t>
  </si>
  <si>
    <t xml:space="preserve">1 agent = 1 household. Input: Structure of housing, outside demand, socio-demographic factors, economic considerations, social influences. Output: Adoption of water saving utilities. Function: decision non-adopter -&gt; potential adopter -&gt; adopter, based on utility calculation, some stochasticity included, yet not clearly reported. </t>
  </si>
  <si>
    <t>Technical: non. Spatial: not thoroughly reported but a "distance based" social network was implemented -&gt; some spatial explicitness was considered. Social: effects of 5 different social networks assessed.</t>
  </si>
  <si>
    <t>A: reaction of residents on water tariff changes, prediction, daily demands, middle-range model. Demand side management B: memetic water demands, prediction, mid-range model, daily demand.</t>
  </si>
  <si>
    <t>A: social: network (random or calibrated on data). Spatial and technical: non. B: social: yes, technical: mass balance at dam. Spatial: non.</t>
  </si>
  <si>
    <t>Some focus on participatory modelling/ games/ simulation.</t>
  </si>
  <si>
    <t>A: Validation: qualitative comparison of 2 aggregated statistics, distinct data. No sensitivity analysis. B: qualitative comparison of aggregated data, distinct dataset. Sensitivity analysis: discussion of effects of some input parameters.</t>
  </si>
  <si>
    <t>Prediction, high-realism, yearly. Infrastructure/ city planning.</t>
  </si>
  <si>
    <t>Simulation of future annual water demand of representative agents for different housing types in Denver + migration (objective: housing density). Input variables: indoor use: household size, per capita use attributes (?), outdoor: Housing type, Policy. relocation: Cost of relocation.</t>
  </si>
  <si>
    <t>No social interaction, not spatially explicit, environment are the different housing types an agent can move into.</t>
  </si>
  <si>
    <t>No validation, data used for model Building, some parameters are varied to discuss effects of assumptions.</t>
  </si>
  <si>
    <t>Spatially and technically inexplicit.</t>
  </si>
  <si>
    <t>High-realism, prediction, daily demand. Water demand management.</t>
  </si>
  <si>
    <t>Validation of assumptions and some outcomes by expert opinion based on face validation.</t>
  </si>
  <si>
    <t>Stochastic simulation to experiment with tools for water management of cape town households. According to graphics: daily demand. 1 agent = 1 household. Input: income, education, garden size (for outdoor use), access to information, and inherent “water-worry”, weather, social interactions. 
Inherent water-worry is an intrinsic value, defined as a household’s natural disposition towards 
conservation. Output: Decision to save water</t>
  </si>
  <si>
    <t>Water demand management strategies and economic incentives for a river basin -&gt; prediction, low-realism model (only very limited parameters, no specificity to an actual system, yet case study for Alberta Canada), monthly water demand.</t>
  </si>
  <si>
    <t xml:space="preserve">Agent = abstract entity, including municipal demand (high aggregation). Output: water demand. Input: Economic "benefit calculation", incentives (i.e. policy), minimal demand (conservation limit). Function: economic optimization of benefit (which is based on regression estimation). </t>
  </si>
  <si>
    <t>Technical: mass balance between several water basins (i.e. rivers/lakes/Groundwater). Spatial &amp; social: not explicitly modeled.</t>
  </si>
  <si>
    <t xml:space="preserve">Prediction, yearly demand, high realism. Water demand management.  Model of yearly water demand for policy recommendations in Beijing. </t>
  </si>
  <si>
    <t>Stochastic model. 1 agent = 1 household. Influences on Household water consumption: Policy, economic incentives, household population, education, income, water price, social influence, Basic water demand.</t>
  </si>
  <si>
    <t>Validation: Predicted total water consumption is 6% above observed consumption (year within calibration interval).</t>
  </si>
  <si>
    <t>Prediction, daily demand, high-realism. Model for the planning of water reduction measures.</t>
  </si>
  <si>
    <t>Indoor use: Blokker et al. (2010) Model: deterministic flow rates (frequency still probabilistic), no diurnal patterns. Input: adoption of water saving fixtures, outdoor use, number of occupants in house. Adoption of technologies motivated by social connections and policy. Outdoor use: Dependent on Outdoor Area (GIS Information) and estimation on survey results.</t>
  </si>
  <si>
    <t>Social: two other agents (i.e. neighbors), one „conservation agent" (i.e. government). Technical: water distribution system (EPANET 2). Spatial: specific map.</t>
  </si>
  <si>
    <t>No Validation beyond model building. Extensive sensitivity analysis presented in M.Sc. Thesis (2018).</t>
  </si>
  <si>
    <r>
      <t>See also Tourigny 2018: “Agent-based</t>
    </r>
    <r>
      <rPr>
        <sz val="11"/>
        <color theme="1"/>
        <rFont val="Calibri"/>
        <family val="2"/>
        <scheme val="minor"/>
      </rPr>
      <t xml:space="preserve"> modelling as a decision support tool for water resources planning and management” (Master’s thesis)</t>
    </r>
  </si>
  <si>
    <t>See Tourigny 2017.</t>
  </si>
  <si>
    <t>Decision: installation of low-flow fixtures, stochastic frequency of fixture use (Blokker et al), estimation on typical fixture use and census Data -&gt; heterogeneous inhabitant count per household, decision based solely on social interaction/ diffusion, decision stochastic (likelihood of adoption).</t>
  </si>
  <si>
    <t>Map representation (for neighborhood relations and water distribution system (EPANET)), no spatial movement of agents.</t>
  </si>
  <si>
    <t>No specific data driven validation.</t>
  </si>
  <si>
    <t>1 agent= 1 household. Indoor use: Blokker et al. (2010) Model: deterministic flow rates (frequency still probabilistic), no diurnal patterns. Parameters: adoption of water saving fixtures, number of occupants in house. Adoption of technologies motivated by social connections (probabilistic model according to young 2009). Extension: Policy as an input factor to adoption probability</t>
  </si>
  <si>
    <t>Spatial: specific city (Kingston). Technical: water distribution system (EPANET). Social: small-world graph</t>
  </si>
  <si>
    <t>Sensitivity Analysis: extensive for the chosen parameters, effect on results (quantitative estimation of potential water saving).</t>
  </si>
  <si>
    <t> Master’s thesis</t>
  </si>
  <si>
    <t>Exclusion code</t>
  </si>
  <si>
    <t>Included</t>
  </si>
  <si>
    <t>Not available in english</t>
  </si>
  <si>
    <t>Spanish full text</t>
  </si>
  <si>
    <t>Not available to the researchers</t>
  </si>
  <si>
    <t>No human consumption/use</t>
  </si>
  <si>
    <t>No human consumption/use modeled</t>
  </si>
  <si>
    <t>No water demand modeled</t>
  </si>
  <si>
    <t>Irrigation purposes only</t>
  </si>
  <si>
    <t>Agricultural use</t>
  </si>
  <si>
    <t>Decision rules unclear/methods not clearly laid out</t>
  </si>
  <si>
    <t>The sorting of records is indicated in the first columns of each work sheet. The Column "Exclusion code" is used for sorting purposes, the column "Exclusion resaon" indicates a brief description of the sorting decision.</t>
  </si>
  <si>
    <t>Only fixed water demand of 26l/Person*day</t>
  </si>
  <si>
    <t>No indivdual water demand modeled</t>
  </si>
  <si>
    <t>Identified</t>
  </si>
  <si>
    <t>Duplicates</t>
  </si>
  <si>
    <t>Ineligible</t>
  </si>
  <si>
    <t>Other reasons</t>
  </si>
  <si>
    <t>Screened</t>
  </si>
  <si>
    <t>Excluded based on Title/Abstract</t>
  </si>
  <si>
    <t>Sought for retrieval</t>
  </si>
  <si>
    <t>Not retrieved</t>
  </si>
  <si>
    <t>Assesed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</si>
</sst>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0"/>
      <name val="Calibri"/>
      <family val="2"/>
      <scheme val="minor"/>
    </font>
    <font>
      <b/>
      <sz val="11"/>
      <color theme="1"/>
      <name val="Calibri"/>
      <family val="2"/>
      <scheme val="minor"/>
    </font>
    <font>
      <sz val="11"/>
      <color rgb="FF000000"/>
      <name val="Calibri"/>
      <family val="2"/>
      <scheme val="minor"/>
    </font>
  </fonts>
  <fills count="7">
    <fill>
      <patternFill patternType="none"/>
    </fill>
    <fill>
      <patternFill patternType="gray125"/>
    </fill>
    <fill>
      <patternFill patternType="solid">
        <fgColor theme="6"/>
        <bgColor theme="6"/>
      </patternFill>
    </fill>
    <fill>
      <patternFill patternType="solid">
        <fgColor theme="6" tint="0.79998168889431442"/>
        <bgColor theme="6" tint="0.79998168889431442"/>
      </patternFill>
    </fill>
    <fill>
      <patternFill patternType="solid">
        <fgColor theme="6" tint="0.59999389629810485"/>
        <bgColor theme="6" tint="0.59999389629810485"/>
      </patternFill>
    </fill>
    <fill>
      <patternFill patternType="solid">
        <fgColor rgb="FFDBDBDB"/>
        <bgColor indexed="64"/>
      </patternFill>
    </fill>
    <fill>
      <patternFill patternType="solid">
        <fgColor rgb="FFEDEDED"/>
        <bgColor indexed="64"/>
      </patternFill>
    </fill>
  </fills>
  <borders count="21">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theme="0"/>
      </left>
      <right/>
      <top/>
      <bottom style="thick">
        <color theme="0"/>
      </bottom>
      <diagonal/>
    </border>
    <border>
      <left style="thin">
        <color theme="0"/>
      </left>
      <right style="thin">
        <color theme="0"/>
      </right>
      <top/>
      <bottom style="thin">
        <color theme="0"/>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right style="medium">
        <color rgb="FFFFFFFF"/>
      </right>
      <top/>
      <bottom style="medium">
        <color rgb="FFFFFFFF"/>
      </bottom>
      <diagonal/>
    </border>
    <border>
      <left/>
      <right style="medium">
        <color rgb="FFFFFFFF"/>
      </right>
      <top/>
      <bottom/>
      <diagonal/>
    </border>
    <border>
      <left style="medium">
        <color rgb="FFFFFFFF"/>
      </left>
      <right style="medium">
        <color rgb="FFFFFFFF"/>
      </right>
      <top style="medium">
        <color rgb="FFFFFFFF"/>
      </top>
      <bottom/>
      <diagonal/>
    </border>
    <border>
      <left/>
      <right style="medium">
        <color rgb="FFFFFFFF"/>
      </right>
      <top style="medium">
        <color rgb="FFFFFFFF"/>
      </top>
      <bottom/>
      <diagonal/>
    </border>
    <border>
      <left style="medium">
        <color rgb="FFFFFFFF"/>
      </left>
      <right style="medium">
        <color rgb="FFFFFFFF"/>
      </right>
      <top style="medium">
        <color rgb="FFFFFFFF"/>
      </top>
      <bottom style="medium">
        <color rgb="FF000000"/>
      </bottom>
      <diagonal/>
    </border>
    <border>
      <left/>
      <right style="medium">
        <color rgb="FFFFFFFF"/>
      </right>
      <top style="medium">
        <color rgb="FFFFFFFF"/>
      </top>
      <bottom style="medium">
        <color rgb="FF000000"/>
      </bottom>
      <diagonal/>
    </border>
  </borders>
  <cellStyleXfs count="1">
    <xf numFmtId="0" fontId="0" fillId="0" borderId="0"/>
  </cellStyleXfs>
  <cellXfs count="63">
    <xf numFmtId="0" fontId="0" fillId="0" borderId="0" xfId="0"/>
    <xf numFmtId="0" fontId="0" fillId="0" borderId="0" xfId="0" applyNumberFormat="1"/>
    <xf numFmtId="0" fontId="1" fillId="2" borderId="1" xfId="0" applyFont="1" applyFill="1" applyBorder="1"/>
    <xf numFmtId="0" fontId="1" fillId="2" borderId="2" xfId="0" applyFont="1" applyFill="1" applyBorder="1"/>
    <xf numFmtId="0" fontId="0" fillId="0" borderId="0" xfId="0" applyNumberFormat="1" applyAlignment="1">
      <alignment wrapText="1"/>
    </xf>
    <xf numFmtId="0" fontId="0" fillId="0" borderId="0" xfId="0" applyAlignment="1">
      <alignment wrapText="1"/>
    </xf>
    <xf numFmtId="0" fontId="0" fillId="0" borderId="0" xfId="0" quotePrefix="1"/>
    <xf numFmtId="0" fontId="1" fillId="2" borderId="2" xfId="0" applyFont="1" applyFill="1" applyBorder="1" applyAlignment="1">
      <alignment wrapText="1"/>
    </xf>
    <xf numFmtId="0" fontId="0" fillId="3" borderId="5" xfId="0" applyFont="1" applyFill="1" applyBorder="1"/>
    <xf numFmtId="0" fontId="0" fillId="4" borderId="5" xfId="0" applyFont="1" applyFill="1" applyBorder="1"/>
    <xf numFmtId="0" fontId="0" fillId="4" borderId="3" xfId="0" applyFont="1" applyFill="1" applyBorder="1"/>
    <xf numFmtId="0" fontId="0" fillId="3" borderId="5" xfId="0" applyNumberFormat="1" applyFont="1" applyFill="1" applyBorder="1" applyAlignment="1">
      <alignment wrapText="1"/>
    </xf>
    <xf numFmtId="0" fontId="0" fillId="4" borderId="4" xfId="0" applyNumberFormat="1" applyFont="1" applyFill="1" applyBorder="1"/>
    <xf numFmtId="0" fontId="0" fillId="4" borderId="5" xfId="0" applyNumberFormat="1" applyFont="1" applyFill="1" applyBorder="1" applyAlignment="1">
      <alignment wrapText="1"/>
    </xf>
    <xf numFmtId="0" fontId="0" fillId="4" borderId="5" xfId="0" applyFont="1" applyFill="1" applyBorder="1" applyAlignment="1">
      <alignment wrapText="1"/>
    </xf>
    <xf numFmtId="0" fontId="0" fillId="3" borderId="4" xfId="0" applyNumberFormat="1" applyFont="1" applyFill="1" applyBorder="1"/>
    <xf numFmtId="0" fontId="0" fillId="3" borderId="5" xfId="0" applyFont="1" applyFill="1" applyBorder="1" applyAlignment="1">
      <alignment wrapText="1"/>
    </xf>
    <xf numFmtId="0" fontId="0" fillId="4" borderId="3" xfId="0" applyFont="1" applyFill="1" applyBorder="1" applyAlignment="1">
      <alignment wrapText="1"/>
    </xf>
    <xf numFmtId="0" fontId="0" fillId="4" borderId="3" xfId="0" applyNumberFormat="1" applyFont="1" applyFill="1" applyBorder="1" applyAlignment="1">
      <alignment wrapText="1"/>
    </xf>
    <xf numFmtId="0" fontId="0" fillId="4" borderId="7" xfId="0" applyNumberFormat="1" applyFont="1" applyFill="1" applyBorder="1"/>
    <xf numFmtId="0" fontId="0" fillId="3" borderId="7" xfId="0" applyNumberFormat="1" applyFont="1" applyFill="1" applyBorder="1"/>
    <xf numFmtId="0" fontId="0" fillId="3" borderId="3" xfId="0" applyFont="1" applyFill="1" applyBorder="1"/>
    <xf numFmtId="0" fontId="1" fillId="2" borderId="9" xfId="0" applyFont="1" applyFill="1" applyBorder="1"/>
    <xf numFmtId="0" fontId="0" fillId="4" borderId="6" xfId="0" applyFont="1" applyFill="1" applyBorder="1" applyAlignment="1">
      <alignment wrapText="1"/>
    </xf>
    <xf numFmtId="0" fontId="0" fillId="3" borderId="6" xfId="0" applyFont="1" applyFill="1" applyBorder="1" applyAlignment="1">
      <alignment wrapText="1"/>
    </xf>
    <xf numFmtId="0" fontId="0" fillId="4" borderId="8" xfId="0" applyFont="1" applyFill="1" applyBorder="1" applyAlignment="1">
      <alignment wrapText="1"/>
    </xf>
    <xf numFmtId="0" fontId="0" fillId="4" borderId="10" xfId="0" applyFont="1" applyFill="1" applyBorder="1" applyAlignment="1">
      <alignment wrapText="1"/>
    </xf>
    <xf numFmtId="0" fontId="0" fillId="4" borderId="6" xfId="0" applyFont="1" applyFill="1" applyBorder="1" applyAlignment="1">
      <alignment horizontal="left" wrapText="1"/>
    </xf>
    <xf numFmtId="0" fontId="0" fillId="3" borderId="5" xfId="0" applyFont="1" applyFill="1" applyBorder="1" applyAlignment="1">
      <alignment horizontal="left" wrapText="1"/>
    </xf>
    <xf numFmtId="0" fontId="0" fillId="3" borderId="6" xfId="0" applyFont="1" applyFill="1" applyBorder="1" applyAlignment="1">
      <alignment horizontal="left" wrapText="1"/>
    </xf>
    <xf numFmtId="0" fontId="0" fillId="4" borderId="5" xfId="0" applyFont="1" applyFill="1" applyBorder="1" applyAlignment="1">
      <alignment horizontal="left" wrapText="1"/>
    </xf>
    <xf numFmtId="0" fontId="3" fillId="5" borderId="11" xfId="0" applyFont="1" applyFill="1" applyBorder="1" applyAlignment="1">
      <alignment horizontal="left" wrapText="1"/>
    </xf>
    <xf numFmtId="0" fontId="3" fillId="5" borderId="12" xfId="0" applyFont="1" applyFill="1" applyBorder="1" applyAlignment="1">
      <alignment horizontal="left" wrapText="1"/>
    </xf>
    <xf numFmtId="0" fontId="3" fillId="5" borderId="13" xfId="0" applyFont="1" applyFill="1" applyBorder="1" applyAlignment="1">
      <alignment horizontal="left" wrapText="1"/>
    </xf>
    <xf numFmtId="0" fontId="3" fillId="6" borderId="13" xfId="0" applyFont="1" applyFill="1" applyBorder="1" applyAlignment="1">
      <alignment horizontal="left" wrapText="1"/>
    </xf>
    <xf numFmtId="0" fontId="3" fillId="6" borderId="15" xfId="0" applyFont="1" applyFill="1" applyBorder="1" applyAlignment="1">
      <alignment horizontal="left" wrapText="1"/>
    </xf>
    <xf numFmtId="0" fontId="3" fillId="6" borderId="12" xfId="0" applyFont="1" applyFill="1" applyBorder="1" applyAlignment="1">
      <alignment horizontal="left" wrapText="1"/>
    </xf>
    <xf numFmtId="0" fontId="3" fillId="5" borderId="15" xfId="0" applyFont="1" applyFill="1" applyBorder="1" applyAlignment="1">
      <alignment horizontal="left" wrapText="1"/>
    </xf>
    <xf numFmtId="0" fontId="3" fillId="6" borderId="11" xfId="0" applyFont="1" applyFill="1" applyBorder="1" applyAlignment="1">
      <alignment horizontal="left" wrapText="1"/>
    </xf>
    <xf numFmtId="0" fontId="3" fillId="5" borderId="12" xfId="0" applyFont="1" applyFill="1" applyBorder="1" applyAlignment="1">
      <alignment horizontal="left"/>
    </xf>
    <xf numFmtId="0" fontId="0" fillId="5" borderId="15" xfId="0" applyFill="1" applyBorder="1" applyAlignment="1">
      <alignment horizontal="left" wrapText="1"/>
    </xf>
    <xf numFmtId="0" fontId="0" fillId="4" borderId="8" xfId="0" applyFont="1" applyFill="1" applyBorder="1" applyAlignment="1">
      <alignment horizontal="left" wrapText="1"/>
    </xf>
    <xf numFmtId="0" fontId="0" fillId="3" borderId="8" xfId="0" applyFont="1" applyFill="1" applyBorder="1" applyAlignment="1">
      <alignment horizontal="left" wrapText="1"/>
    </xf>
    <xf numFmtId="0" fontId="0" fillId="4" borderId="3" xfId="0" applyFont="1" applyFill="1" applyBorder="1" applyAlignment="1">
      <alignment horizontal="left" wrapText="1"/>
    </xf>
    <xf numFmtId="0" fontId="3" fillId="5" borderId="14" xfId="0" applyFont="1" applyFill="1" applyBorder="1" applyAlignment="1">
      <alignment horizontal="left" wrapText="1"/>
    </xf>
    <xf numFmtId="0" fontId="3" fillId="5" borderId="16" xfId="0" applyFont="1" applyFill="1" applyBorder="1" applyAlignment="1">
      <alignment horizontal="left" wrapText="1"/>
    </xf>
    <xf numFmtId="0" fontId="3" fillId="6" borderId="17" xfId="0" applyFont="1" applyFill="1" applyBorder="1" applyAlignment="1">
      <alignment horizontal="left" wrapText="1"/>
    </xf>
    <xf numFmtId="0" fontId="3" fillId="6" borderId="18" xfId="0" applyFont="1" applyFill="1" applyBorder="1" applyAlignment="1">
      <alignment horizontal="left" wrapText="1"/>
    </xf>
    <xf numFmtId="0" fontId="3" fillId="5" borderId="17" xfId="0" applyFont="1" applyFill="1" applyBorder="1" applyAlignment="1">
      <alignment wrapText="1"/>
    </xf>
    <xf numFmtId="0" fontId="3" fillId="5" borderId="18" xfId="0" applyFont="1" applyFill="1" applyBorder="1" applyAlignment="1">
      <alignment wrapText="1"/>
    </xf>
    <xf numFmtId="0" fontId="3" fillId="5" borderId="12" xfId="0" applyFont="1" applyFill="1" applyBorder="1" applyAlignment="1">
      <alignment wrapText="1"/>
    </xf>
    <xf numFmtId="0" fontId="3" fillId="5" borderId="14" xfId="0" applyFont="1" applyFill="1" applyBorder="1" applyAlignment="1">
      <alignment wrapText="1"/>
    </xf>
    <xf numFmtId="0" fontId="3" fillId="5" borderId="16" xfId="0" applyFont="1" applyFill="1" applyBorder="1" applyAlignment="1">
      <alignment wrapText="1"/>
    </xf>
    <xf numFmtId="0" fontId="3" fillId="5" borderId="11" xfId="0" applyFont="1" applyFill="1" applyBorder="1" applyAlignment="1">
      <alignment wrapText="1"/>
    </xf>
    <xf numFmtId="0" fontId="3" fillId="6" borderId="17" xfId="0" applyFont="1" applyFill="1" applyBorder="1" applyAlignment="1">
      <alignment wrapText="1"/>
    </xf>
    <xf numFmtId="0" fontId="3" fillId="6" borderId="18" xfId="0" applyFont="1" applyFill="1" applyBorder="1" applyAlignment="1">
      <alignment wrapText="1"/>
    </xf>
    <xf numFmtId="0" fontId="3" fillId="6" borderId="13" xfId="0" applyFont="1" applyFill="1" applyBorder="1" applyAlignment="1">
      <alignment wrapText="1"/>
    </xf>
    <xf numFmtId="0" fontId="3" fillId="6" borderId="15" xfId="0" applyFont="1" applyFill="1" applyBorder="1" applyAlignment="1">
      <alignment wrapText="1"/>
    </xf>
    <xf numFmtId="0" fontId="3" fillId="5" borderId="13" xfId="0" applyFont="1" applyFill="1" applyBorder="1" applyAlignment="1">
      <alignment wrapText="1"/>
    </xf>
    <xf numFmtId="0" fontId="3" fillId="5" borderId="15" xfId="0" applyFont="1" applyFill="1" applyBorder="1" applyAlignment="1">
      <alignment wrapText="1"/>
    </xf>
    <xf numFmtId="0" fontId="3" fillId="5" borderId="19" xfId="0" applyFont="1" applyFill="1" applyBorder="1" applyAlignment="1">
      <alignment wrapText="1"/>
    </xf>
    <xf numFmtId="0" fontId="3" fillId="5" borderId="20" xfId="0" applyFont="1" applyFill="1" applyBorder="1" applyAlignment="1">
      <alignment wrapText="1"/>
    </xf>
    <xf numFmtId="0" fontId="2" fillId="0" borderId="0" xfId="0" applyFont="1" applyAlignment="1">
      <alignment wrapText="1"/>
    </xf>
  </cellXfs>
  <cellStyles count="1">
    <cellStyle name="Standard" xfId="0" builtinId="0"/>
  </cellStyles>
  <dxfs count="47">
    <dxf>
      <font>
        <b val="0"/>
        <i val="0"/>
        <strike val="0"/>
        <condense val="0"/>
        <extend val="0"/>
        <outline val="0"/>
        <shadow val="0"/>
        <u val="none"/>
        <vertAlign val="baseline"/>
        <sz val="11"/>
        <color theme="1"/>
        <name val="Calibri"/>
        <family val="2"/>
        <scheme val="minor"/>
      </font>
      <fill>
        <patternFill patternType="solid">
          <fgColor theme="6" tint="0.59999389629810485"/>
          <bgColor theme="6" tint="0.59999389629810485"/>
        </patternFill>
      </fill>
      <alignment horizontal="general" vertical="bottom"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1"/>
        <color theme="1"/>
        <name val="Calibri"/>
        <family val="2"/>
        <scheme val="minor"/>
      </font>
      <fill>
        <patternFill patternType="solid">
          <fgColor theme="6" tint="0.59999389629810485"/>
          <bgColor theme="6" tint="0.59999389629810485"/>
        </patternFill>
      </fill>
      <alignment horizontal="general"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family val="2"/>
        <scheme val="minor"/>
      </font>
      <fill>
        <patternFill patternType="solid">
          <fgColor theme="6" tint="0.59999389629810485"/>
          <bgColor theme="6" tint="0.59999389629810485"/>
        </patternFill>
      </fill>
      <alignment horizontal="general"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family val="2"/>
        <scheme val="minor"/>
      </font>
      <fill>
        <patternFill patternType="solid">
          <fgColor theme="6" tint="0.59999389629810485"/>
          <bgColor theme="6" tint="0.59999389629810485"/>
        </patternFill>
      </fill>
      <alignment horizontal="general"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family val="2"/>
        <scheme val="minor"/>
      </font>
      <fill>
        <patternFill patternType="solid">
          <fgColor theme="6" tint="0.59999389629810485"/>
          <bgColor theme="6" tint="0.59999389629810485"/>
        </patternFill>
      </fill>
      <alignment horizontal="general" vertical="bottom"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family val="2"/>
        <scheme val="minor"/>
      </font>
      <fill>
        <patternFill patternType="solid">
          <fgColor theme="6" tint="0.59999389629810485"/>
          <bgColor theme="6" tint="0.5999938962981048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solid">
          <fgColor theme="6" tint="0.59999389629810485"/>
          <bgColor theme="6" tint="0.59999389629810485"/>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solid">
          <fgColor theme="6" tint="0.59999389629810485"/>
          <bgColor theme="6" tint="0.59999389629810485"/>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minor"/>
      </font>
      <fill>
        <patternFill patternType="solid">
          <fgColor theme="6" tint="0.59999389629810485"/>
          <bgColor theme="6" tint="0.59999389629810485"/>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border>
    </dxf>
    <dxf>
      <font>
        <b val="0"/>
        <i val="0"/>
        <strike val="0"/>
        <condense val="0"/>
        <extend val="0"/>
        <outline val="0"/>
        <shadow val="0"/>
        <u val="none"/>
        <vertAlign val="baseline"/>
        <sz val="11"/>
        <color theme="1"/>
        <name val="Calibri"/>
        <family val="2"/>
        <scheme val="minor"/>
      </font>
      <fill>
        <patternFill patternType="solid">
          <fgColor theme="6" tint="0.59999389629810485"/>
          <bgColor theme="6" tint="0.59999389629810485"/>
        </patternFill>
      </fill>
      <alignment horizontal="general" vertical="bottom"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border diagonalUp="0" diagonalDown="0" outline="0">
        <left style="thin">
          <color theme="0"/>
        </left>
        <right style="thin">
          <color theme="0"/>
        </right>
        <top/>
        <bottom/>
      </border>
    </dxf>
    <dxf>
      <numFmt numFmtId="0" formatCode="General"/>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border diagonalUp="0" diagonalDown="0" outline="0">
        <left style="thin">
          <color theme="0"/>
        </left>
        <right style="thin">
          <color theme="0"/>
        </right>
        <top/>
        <bottom/>
      </border>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alignment horizontal="general" vertical="bottom" textRotation="0" wrapText="1" indent="0" justifyLastLine="0" shrinkToFit="0" readingOrder="0"/>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eDaten_1" connectionId="3" xr16:uid="{562F8104-E2F2-4C63-BDC6-D7F2FCEB417A}" autoFormatId="16" applyNumberFormats="0" applyBorderFormats="0" applyFontFormats="0" applyPatternFormats="0" applyAlignmentFormats="0" applyWidthHeightFormats="0">
  <queryTableRefresh nextId="40" unboundColumnsLeft="2">
    <queryTableFields count="34">
      <queryTableField id="34" dataBound="0" tableColumnId="34"/>
      <queryTableField id="33" dataBound="0" tableColumnId="33"/>
      <queryTableField id="1" name="Authors" tableColumnId="1"/>
      <queryTableField id="2" name="Author(s) ID" tableColumnId="2"/>
      <queryTableField id="3" name="Title" tableColumnId="3"/>
      <queryTableField id="4" name="Year" tableColumnId="4"/>
      <queryTableField id="5" name="Source title" tableColumnId="5"/>
      <queryTableField id="6" name="Volume" tableColumnId="6"/>
      <queryTableField id="7" name="Issue" tableColumnId="7"/>
      <queryTableField id="8" name="Art. No." tableColumnId="8"/>
      <queryTableField id="9" name="Page start" tableColumnId="9"/>
      <queryTableField id="10" name="Page end" tableColumnId="10"/>
      <queryTableField id="11" name="Page count" tableColumnId="11"/>
      <queryTableField id="12" name="Cited by" tableColumnId="12"/>
      <queryTableField id="13" name="DOI" tableColumnId="13"/>
      <queryTableField id="14" name="Link" tableColumnId="14"/>
      <queryTableField id="15" name="Abstract" tableColumnId="15"/>
      <queryTableField id="16" name="Author Keywords" tableColumnId="16"/>
      <queryTableField id="17" name="Index Keywords" tableColumnId="17"/>
      <queryTableField id="18" name="Sponsors" tableColumnId="18"/>
      <queryTableField id="19" name="Publisher" tableColumnId="19"/>
      <queryTableField id="20" name="Conference name" tableColumnId="20"/>
      <queryTableField id="21" name="Conference date" tableColumnId="21"/>
      <queryTableField id="22" name="Conference location" tableColumnId="22"/>
      <queryTableField id="23" name="Conference code" tableColumnId="23"/>
      <queryTableField id="24" name="ISSN" tableColumnId="24"/>
      <queryTableField id="25" name="ISBN" tableColumnId="25"/>
      <queryTableField id="26" name="CODEN" tableColumnId="26"/>
      <queryTableField id="27" name="Language of Original Document" tableColumnId="27"/>
      <queryTableField id="28" name="Document Type" tableColumnId="28"/>
      <queryTableField id="29" name="Publication Stage" tableColumnId="29"/>
      <queryTableField id="30" name="Open Access" tableColumnId="30"/>
      <queryTableField id="31" name="Source" tableColumnId="31"/>
      <queryTableField id="32" name="EID" tableColumnId="3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2A89827-F459-4ECD-9951-B9E58EAE2920}" name="scopus040720223" displayName="scopus040720223" ref="A1:AH131" tableType="queryTable" totalsRowShown="0">
  <autoFilter ref="A1:AH131" xr:uid="{F91596DC-76C1-4BE9-BD4B-EEFEE74718F7}"/>
  <sortState ref="A2:AH127">
    <sortCondition ref="C1:C131"/>
  </sortState>
  <tableColumns count="34">
    <tableColumn id="34" xr3:uid="{9043B682-307C-4E50-9767-AE7A7C0CD5E8}" uniqueName="34" name="Exclusion code" queryTableFieldId="34" dataDxfId="46"/>
    <tableColumn id="33" xr3:uid="{1C545605-369A-4D69-B298-BEECD1B6386C}" uniqueName="33" name="Exclusion reason" queryTableFieldId="33" dataDxfId="45"/>
    <tableColumn id="1" xr3:uid="{128FB72C-9374-4C9E-9D9A-9CFFF2402BD9}" uniqueName="1" name="Authors" queryTableFieldId="1" dataDxfId="44"/>
    <tableColumn id="2" xr3:uid="{88BB5D5E-4CD9-4463-B1AA-177388466BD9}" uniqueName="2" name="Author(s) ID" queryTableFieldId="2" dataDxfId="43"/>
    <tableColumn id="3" xr3:uid="{F49AEA82-C5CA-4C5F-812C-01CA9EE17AB7}" uniqueName="3" name="Title" queryTableFieldId="3" dataDxfId="42"/>
    <tableColumn id="4" xr3:uid="{E91A0025-5A44-48EC-9BC2-06E40EAEEB4C}" uniqueName="4" name="Year" queryTableFieldId="4"/>
    <tableColumn id="5" xr3:uid="{6F8AC665-2027-45C6-A8CD-851EA1B45BDA}" uniqueName="5" name="Source title" queryTableFieldId="5" dataDxfId="41"/>
    <tableColumn id="6" xr3:uid="{48246C60-D70C-42C8-9154-473F4D0F4E8B}" uniqueName="6" name="Volume" queryTableFieldId="6" dataDxfId="40"/>
    <tableColumn id="7" xr3:uid="{59DAD220-A883-40B7-9CC5-6212FB203588}" uniqueName="7" name="Issue" queryTableFieldId="7" dataDxfId="39"/>
    <tableColumn id="8" xr3:uid="{C932BB65-5AF0-4410-BE35-03B9CBDC9DDC}" uniqueName="8" name="Art. No." queryTableFieldId="8" dataDxfId="38"/>
    <tableColumn id="9" xr3:uid="{C83003BD-B03E-4B0F-A075-B2B80C23E081}" uniqueName="9" name="Page start" queryTableFieldId="9"/>
    <tableColumn id="10" xr3:uid="{588FFC2F-D53F-4A91-B1C3-DBDF55A6673E}" uniqueName="10" name="Page end" queryTableFieldId="10"/>
    <tableColumn id="11" xr3:uid="{30691D38-7D86-4DB7-B087-BA640A0E6DAF}" uniqueName="11" name="Page count" queryTableFieldId="11"/>
    <tableColumn id="12" xr3:uid="{844B0A8C-F921-4C57-8C94-2B24A8DDB860}" uniqueName="12" name="Cited by" queryTableFieldId="12"/>
    <tableColumn id="13" xr3:uid="{02AD59ED-D459-456F-942B-94D8D767AFC3}" uniqueName="13" name="DOI" queryTableFieldId="13" dataDxfId="37"/>
    <tableColumn id="14" xr3:uid="{079CFF64-849B-47BF-BC72-F6D5B262A9B8}" uniqueName="14" name="Link" queryTableFieldId="14" dataDxfId="36"/>
    <tableColumn id="15" xr3:uid="{1C069E8D-40EA-4454-82EE-58BFBF65CBC9}" uniqueName="15" name="Abstract" queryTableFieldId="15" dataDxfId="35"/>
    <tableColumn id="16" xr3:uid="{6953B379-E1E1-482B-9E2D-4CE92125AB0E}" uniqueName="16" name="Author Keywords" queryTableFieldId="16" dataDxfId="34"/>
    <tableColumn id="17" xr3:uid="{7DA0848E-B636-42E6-BC15-1A6850BCD5B9}" uniqueName="17" name="Index Keywords" queryTableFieldId="17" dataDxfId="33"/>
    <tableColumn id="18" xr3:uid="{D1F68EC3-102C-4949-9BD3-B4F547162DD0}" uniqueName="18" name="Sponsors" queryTableFieldId="18" dataDxfId="32"/>
    <tableColumn id="19" xr3:uid="{DAE648F4-099B-42DF-9FFD-1ECE19FC07AD}" uniqueName="19" name="Publisher" queryTableFieldId="19" dataDxfId="31"/>
    <tableColumn id="20" xr3:uid="{F5F3DD5E-8A77-42B7-99EA-16EE187D8921}" uniqueName="20" name="Conference name" queryTableFieldId="20" dataDxfId="30"/>
    <tableColumn id="21" xr3:uid="{314427DB-B2E8-468B-A352-8BC9FA251AA9}" uniqueName="21" name="Conference date" queryTableFieldId="21" dataDxfId="29"/>
    <tableColumn id="22" xr3:uid="{742852B7-87A3-440E-84FE-577ED8BCCAD3}" uniqueName="22" name="Conference location" queryTableFieldId="22" dataDxfId="28"/>
    <tableColumn id="23" xr3:uid="{3DD3DA33-6405-48AA-877B-8CD86D736EC3}" uniqueName="23" name="Conference code" queryTableFieldId="23"/>
    <tableColumn id="24" xr3:uid="{BFD39AE1-DFF5-47C4-BED7-72733404F9A0}" uniqueName="24" name="ISSN" queryTableFieldId="24" dataDxfId="27"/>
    <tableColumn id="25" xr3:uid="{618CB1C1-6061-4BD9-84D8-C9D2F7BA7257}" uniqueName="25" name="ISBN" queryTableFieldId="25" dataDxfId="26"/>
    <tableColumn id="26" xr3:uid="{3E8B3447-6C8D-4CF3-BE93-4EA524943586}" uniqueName="26" name="CODEN" queryTableFieldId="26" dataDxfId="25"/>
    <tableColumn id="27" xr3:uid="{C860D3C6-17DA-42DE-9185-12CCA5ACD1A3}" uniqueName="27" name="Language of Original Document" queryTableFieldId="27" dataDxfId="24"/>
    <tableColumn id="28" xr3:uid="{D6B99F26-A8C2-4298-92FC-63D42E86E1E0}" uniqueName="28" name="Document Type" queryTableFieldId="28" dataDxfId="23"/>
    <tableColumn id="29" xr3:uid="{5F9B55C8-5D52-4D7D-AF33-1A442A43406B}" uniqueName="29" name="Publication Stage" queryTableFieldId="29" dataDxfId="22"/>
    <tableColumn id="30" xr3:uid="{9DC273B5-7703-4898-ACCE-6C3E6CB79FF0}" uniqueName="30" name="Open Access" queryTableFieldId="30" dataDxfId="21"/>
    <tableColumn id="31" xr3:uid="{2ED1A39D-DFFA-4361-B509-1A8EF761EC12}" uniqueName="31" name="Source" queryTableFieldId="31" dataDxfId="20"/>
    <tableColumn id="32" xr3:uid="{45CEA9C8-F550-45F6-9EA2-59D8EFB103F4}" uniqueName="32" name="EID" queryTableFieldId="32" dataDxfId="19"/>
  </tableColumns>
  <tableStyleInfo name="TableStyleMedium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7325DC6-06FF-4EFC-870A-1D356078735D}" name="Tabelle6" displayName="Tabelle6" ref="A1:BW132" totalsRowShown="0">
  <autoFilter ref="A1:BW132" xr:uid="{F85AE12F-5A4A-4F3E-A202-6244A9EB03B8}"/>
  <sortState ref="A2:BW132">
    <sortCondition ref="E1:E132"/>
  </sortState>
  <tableColumns count="75">
    <tableColumn id="1" xr3:uid="{1CE86B8D-E67D-419F-AA5F-E9188DADB198}" name="Douplicates in Scopus Search" dataDxfId="18">
      <calculatedColumnFormula>COUNTIF(Scopus!$E$2:$E$128,"="&amp;Tabelle6[[#This Row],[Article Title]])</calculatedColumnFormula>
    </tableColumn>
    <tableColumn id="2" xr3:uid="{23B84D46-38F4-4363-B4CD-F3B1160940D3}" name="Exclusion code" dataDxfId="17"/>
    <tableColumn id="3" xr3:uid="{3E3A24FC-11A8-4864-B44C-426BF4C1D59A}" name="Exclusion reason"/>
    <tableColumn id="4" xr3:uid="{408D7946-09E7-4195-A858-7966C4F106D3}" name="Publication Type"/>
    <tableColumn id="5" xr3:uid="{53EEA86C-F460-4411-9DDA-DB675E1BFD51}" name="Authors"/>
    <tableColumn id="6" xr3:uid="{3D5E333B-9B9E-4E19-A890-308196ACA06B}" name="Publication Year"/>
    <tableColumn id="7" xr3:uid="{AF82F24F-E2DB-4B3D-8792-5C99D72B7D6A}" name="Article Title"/>
    <tableColumn id="12" xr3:uid="{FC674825-D7FC-4791-A2FF-29AB4B3C785A}" name="Book Authors"/>
    <tableColumn id="13" xr3:uid="{E73E0906-5FF5-4880-B119-7FBD625D4A83}" name="Book Editors"/>
    <tableColumn id="14" xr3:uid="{8252F224-E1DB-43CD-AC2F-875E4DC5A91C}" name="Book Group Authors"/>
    <tableColumn id="15" xr3:uid="{A9480CA4-AB4F-4F29-935E-A0E1B35F2C05}" name="Author Full Names"/>
    <tableColumn id="16" xr3:uid="{C923D646-5D12-44B6-9EE5-81D814FD7A3C}" name="Book Author Full Names"/>
    <tableColumn id="17" xr3:uid="{CA7E1BD9-9870-4D19-870E-D2A69816BC22}" name="Group Authors"/>
    <tableColumn id="18" xr3:uid="{5F09F59F-A6CD-4480-AB6D-5D200DF92365}" name="Source Title"/>
    <tableColumn id="19" xr3:uid="{5CDDC7AF-2184-4F14-B29D-79D288A6C925}" name="Book Series Title"/>
    <tableColumn id="20" xr3:uid="{C0901C4F-A4A8-4A2C-A42A-B9288180F986}" name="Book Series Subtitle"/>
    <tableColumn id="21" xr3:uid="{C76C6EE3-BBD5-4E3C-8602-41FFF4C08471}" name="Language"/>
    <tableColumn id="22" xr3:uid="{0B889E2B-F3F6-43A0-B886-023CA6F819C0}" name="Document Type"/>
    <tableColumn id="23" xr3:uid="{56F9D5CA-67ED-4A76-9FF4-D23DDFB7D4ED}" name="Conference Title"/>
    <tableColumn id="24" xr3:uid="{B286585E-52CA-4845-B7D4-28D62321FD03}" name="Conference Date"/>
    <tableColumn id="25" xr3:uid="{106328C9-B5A7-44DC-80C4-1AC56211FD0C}" name="Conference Location"/>
    <tableColumn id="26" xr3:uid="{7F78284E-1E56-4F47-B41B-370CAA46BC68}" name="Conference Sponsor"/>
    <tableColumn id="27" xr3:uid="{361817F1-4824-42D7-A841-1F213DC5F439}" name="Conference Host"/>
    <tableColumn id="28" xr3:uid="{A135B4CF-F0D9-42CB-82D7-6BCEF298CE3B}" name="Author Keywords"/>
    <tableColumn id="29" xr3:uid="{5785DEFE-2766-4E0E-9A2E-3F9EC3D145A6}" name="Keywords Plus"/>
    <tableColumn id="30" xr3:uid="{9453B6DF-C3CC-40C6-B3C6-B021BEFE4A9E}" name="Abstract"/>
    <tableColumn id="31" xr3:uid="{987663D9-DB5D-4532-BF46-C80764291C6F}" name="Addresses"/>
    <tableColumn id="32" xr3:uid="{70E49EB5-CCFF-4F20-B18B-0F7A3D2D0C47}" name="Affiliations"/>
    <tableColumn id="33" xr3:uid="{75D73652-0421-4A3C-9465-DB42ADA0830A}" name="Reprint Addresses"/>
    <tableColumn id="34" xr3:uid="{44DABEC5-49DA-4440-AA60-76DB96DFF463}" name="Email Addresses"/>
    <tableColumn id="35" xr3:uid="{CCFCEA10-AD9D-4534-8FB5-E873E2794E07}" name="Researcher Ids"/>
    <tableColumn id="36" xr3:uid="{364809A0-9E89-4645-99AF-E9E511947A46}" name="ORCIDs"/>
    <tableColumn id="37" xr3:uid="{3F0E414E-402C-4B72-9776-4FFA3D13692A}" name="Funding Orgs"/>
    <tableColumn id="38" xr3:uid="{FC3F5678-B04F-481A-85F5-497C45F78834}" name="Funding Name Preferred"/>
    <tableColumn id="39" xr3:uid="{557B2258-1BE9-4A13-9F8F-35F921936DB0}" name="Funding Text"/>
    <tableColumn id="40" xr3:uid="{EAFA56FD-E133-4B03-98CB-DDA070364DEA}" name="Cited References"/>
    <tableColumn id="41" xr3:uid="{FD76EB6A-DDFF-4FEB-A3AE-9EF337EEC616}" name="Cited Reference Count"/>
    <tableColumn id="42" xr3:uid="{8F38336A-8333-47FC-8D37-65FEBAD9630C}" name="Times Cited, WoS Core"/>
    <tableColumn id="43" xr3:uid="{4F587388-E324-4193-B980-8F06C7C186B7}" name="Times Cited, All Databases"/>
    <tableColumn id="44" xr3:uid="{7E9C1E44-4F68-4F7F-B37E-CFCAA672E06A}" name="180 Day Usage Count"/>
    <tableColumn id="45" xr3:uid="{A57897C5-0188-4E3D-A7C2-B304E2540470}" name="Since 2013 Usage Count"/>
    <tableColumn id="46" xr3:uid="{54A1B1E2-C5E4-489F-A2FF-56FBA12B9EDF}" name="Publisher"/>
    <tableColumn id="47" xr3:uid="{7C6D130E-A7F9-44DA-BEC5-8BC7D678761A}" name="Publisher City"/>
    <tableColumn id="48" xr3:uid="{54C539E1-C655-4738-850D-41DBE69097B7}" name="Publisher Address"/>
    <tableColumn id="49" xr3:uid="{51E1D294-5D6B-4F3C-B3BB-37EBCD373B1C}" name="ISSN"/>
    <tableColumn id="50" xr3:uid="{78D4E036-082F-46DB-8966-706A72258027}" name="eISSN"/>
    <tableColumn id="51" xr3:uid="{084A7061-8F08-4294-A9FA-34B81DB3C676}" name="ISBN"/>
    <tableColumn id="52" xr3:uid="{70D65A0A-3BDE-4E40-84CA-02F592E7DFCD}" name="Journal Abbreviation"/>
    <tableColumn id="53" xr3:uid="{F074313B-2D94-482B-A710-0E2A4C32D07A}" name="Journal ISO Abbreviation"/>
    <tableColumn id="54" xr3:uid="{9BFAF033-840B-4D95-91E3-5C9A6A1B19F9}" name="Publication Date"/>
    <tableColumn id="55" xr3:uid="{2F2F67D2-F446-414E-89C2-873A2C235578}" name="Volume"/>
    <tableColumn id="56" xr3:uid="{0B8202A6-BAEB-4738-BA3C-90AFFA423651}" name="Issue"/>
    <tableColumn id="57" xr3:uid="{7DCF766F-101C-46AB-A35B-9AFB3A4FAC6F}" name="Part Number"/>
    <tableColumn id="58" xr3:uid="{4A467419-FB2F-45B4-98C1-DFEB45209782}" name="Supplement"/>
    <tableColumn id="59" xr3:uid="{3F9F302D-EC85-44F0-92ED-B00E7236B4F1}" name="Special Issue"/>
    <tableColumn id="60" xr3:uid="{3ED7B42E-F467-47FF-A598-F490337EC0BC}" name="Meeting Abstract"/>
    <tableColumn id="61" xr3:uid="{9AA5F510-86BF-4F52-80AF-1222555A0090}" name="Start Page"/>
    <tableColumn id="62" xr3:uid="{5FD3C670-CB62-4333-8889-7ED5EECB96FE}" name="End Page"/>
    <tableColumn id="63" xr3:uid="{3CDE6E50-10ED-4691-AC0D-781B5D35B01A}" name="Article Number"/>
    <tableColumn id="64" xr3:uid="{1508CE2D-7B50-4E2A-8D9E-F76E0016E7E2}" name="DOI"/>
    <tableColumn id="65" xr3:uid="{F02BF1E6-529E-4423-A28C-3496A0EB3BC5}" name="DOI Link"/>
    <tableColumn id="66" xr3:uid="{F1EDF223-6266-46D9-BBA6-887028C7A5F4}" name="Book DOI"/>
    <tableColumn id="67" xr3:uid="{6AF8D39B-0559-40C5-96AF-651654D3406D}" name="Early Access Date"/>
    <tableColumn id="68" xr3:uid="{B29F0079-5320-4DD4-918B-94E62C13791D}" name="Number of Pages"/>
    <tableColumn id="69" xr3:uid="{1AB79833-173A-453C-990E-BAF7F32C9D6F}" name="WoS Categories"/>
    <tableColumn id="70" xr3:uid="{9BEDF842-0864-41FD-A10F-7D618EFB58A2}" name="Web of Science Index"/>
    <tableColumn id="71" xr3:uid="{CC7DF1A5-C59F-44B2-B670-D6760F6BC71A}" name="Research Areas"/>
    <tableColumn id="72" xr3:uid="{A7E278EF-DAF5-4485-8116-16C9527D514D}" name="IDS Number"/>
    <tableColumn id="73" xr3:uid="{69FF952D-6E78-4A33-8930-44977A3C28B1}" name="Pubmed Id"/>
    <tableColumn id="74" xr3:uid="{B9F799EA-5B34-4453-B21D-FFAA77503C6E}" name="Open Access Designations"/>
    <tableColumn id="75" xr3:uid="{F9A1A0B5-1755-4F1E-99ED-1A1BECE88122}" name="Highly Cited Status"/>
    <tableColumn id="76" xr3:uid="{71AE21D6-3942-4AF6-96B1-9FFF52BD2BD1}" name="Hot Paper Status"/>
    <tableColumn id="77" xr3:uid="{52590A97-1EDE-4F5B-8166-25812C8FB898}" name="Date of Export"/>
    <tableColumn id="78" xr3:uid="{8113B743-C831-4ECD-BDD3-D99E79507932}" name="UT (Unique WOS ID)"/>
    <tableColumn id="79" xr3:uid="{461EADE4-38B0-4C67-B960-791E497CE27B}" name="Web of Science Record"/>
  </tableColumns>
  <tableStyleInfo name="TableStyleMedium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BFA7215-BF6B-42B8-8C16-224951DF7C11}" name="Tabelle3" displayName="Tabelle3" ref="A1:F38" totalsRowShown="0" headerRowDxfId="16" headerRowBorderDxfId="15">
  <autoFilter ref="A1:F38" xr:uid="{E3F6DF3E-EFE3-49DA-9743-22D5768CDA33}"/>
  <tableColumns count="6">
    <tableColumn id="1" xr3:uid="{D8DC1CF2-2558-4294-B736-7A846F6BC3AE}" name="Excluded?"/>
    <tableColumn id="2" xr3:uid="{28D92D56-3C46-4E5C-8D21-6538097E7974}" name="Exclusion reason"/>
    <tableColumn id="3" xr3:uid="{54879B5E-654A-4767-B431-88F06E9A9EC7}" name="Source"/>
    <tableColumn id="4" xr3:uid="{C80FCD17-79CB-447B-9809-851E9A374658}" name="Authors"/>
    <tableColumn id="5" xr3:uid="{68FEF6F9-5532-46C6-8053-7E43A29D85C3}" name="Year"/>
    <tableColumn id="6" xr3:uid="{500C4A00-95C2-4950-86A7-1389CA231DF8}" name="Title"/>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F6F46B9-7C8F-45A5-BA48-176BB20BDC3B}" name="Tabelle4" displayName="Tabelle4" ref="A1:F18" totalsRowShown="0">
  <autoFilter ref="A1:F18" xr:uid="{E1859ED8-5D96-4D84-AE6C-B86CC7F5D29A}"/>
  <tableColumns count="6">
    <tableColumn id="1" xr3:uid="{1E4415E7-579E-48BA-98E0-87B81AC93F69}" name="Sorting Variable"/>
    <tableColumn id="2" xr3:uid="{30D99E07-7D02-4254-8F3A-070E23FC2005}" name="Exclusion reason"/>
    <tableColumn id="3" xr3:uid="{5A28336F-4405-443F-8296-36EECC3588CA}" name="Scopus (No. Articles)">
      <calculatedColumnFormula>COUNTIF(#REF!,"="&amp;A2)</calculatedColumnFormula>
    </tableColumn>
    <tableColumn id="4" xr3:uid="{B99E4148-C341-44FA-BB41-20195675AD20}" name="Web of Science (No. Articles)">
      <calculatedColumnFormula>COUNTIF(#REF!,"="&amp;A2)</calculatedColumnFormula>
    </tableColumn>
    <tableColumn id="5" xr3:uid="{C3395BFC-FE03-4300-9B39-E1E0F9640566}" name="other Sources (No. Articles)" dataDxfId="14">
      <calculatedColumnFormula>COUNTIF('Other Sources'!A:A,"&gt;-1")</calculatedColumnFormula>
    </tableColumn>
    <tableColumn id="6" xr3:uid="{498E1200-9D75-40A3-88E7-47653A0E931A}" name="All sources  (No. Articles)">
      <calculatedColumnFormula>SUM(C2:E2)</calculatedColumnFormula>
    </tableColumn>
  </tableColumns>
  <tableStyleInfo name="TableStyleMedium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48FF56E-2E85-4769-9988-66929606DF71}" name="Tabelle7" displayName="Tabelle7" ref="A1:I52" totalsRowShown="0" headerRowDxfId="13" dataDxfId="11" headerRowBorderDxfId="12" tableBorderDxfId="10" totalsRowBorderDxfId="9">
  <autoFilter ref="A1:I52" xr:uid="{5BAD9EC3-AE6F-410B-A884-21C143096CBC}"/>
  <sortState ref="A2:I52">
    <sortCondition ref="A1:A52"/>
  </sortState>
  <tableColumns count="9">
    <tableColumn id="11" xr3:uid="{C9DA4961-798B-46A3-9CE8-986F640EA7BB}" name="Model No." dataDxfId="8"/>
    <tableColumn id="1" xr3:uid="{C6F01D07-4636-429E-A63C-2EEDCC24506D}" name="Authors" dataDxfId="7"/>
    <tableColumn id="3" xr3:uid="{2C997502-A65D-44EA-983E-52E59966B7BA}" name="Title" dataDxfId="6"/>
    <tableColumn id="4" xr3:uid="{EE978172-B106-4845-9B01-CE9175610CEE}" name="Year" dataDxfId="5"/>
    <tableColumn id="5" xr3:uid="{C2803029-B920-4FE8-801A-9995CB6AFA73}" name="Nature of model" dataDxfId="4"/>
    <tableColumn id="6" xr3:uid="{F23DAA96-4778-44DC-8238-7EBCD7DD8370}" name="Agent Behavior" dataDxfId="3"/>
    <tableColumn id="7" xr3:uid="{4B085460-2CD8-48AB-AFE4-EDE6A6E78AF5}" name="Environment" dataDxfId="2"/>
    <tableColumn id="8" xr3:uid="{765B38A4-974B-49AD-8642-3FE9AF530CD1}" name="Validation" dataDxfId="1"/>
    <tableColumn id="9" xr3:uid="{C69CCAF6-DC65-4352-80DF-EC929BC2F7D2}" name="Note" dataDxfId="0"/>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71F5C-1480-481C-B1B5-1FA2CC0D2FFC}">
  <dimension ref="B1:B10"/>
  <sheetViews>
    <sheetView zoomScale="85" zoomScaleNormal="85" workbookViewId="0">
      <selection activeCell="B4" sqref="B4"/>
    </sheetView>
  </sheetViews>
  <sheetFormatPr baseColWidth="10" defaultRowHeight="14.5" x14ac:dyDescent="0.35"/>
  <cols>
    <col min="1" max="1" width="1.1796875" customWidth="1"/>
    <col min="2" max="2" width="64.453125" customWidth="1"/>
  </cols>
  <sheetData>
    <row r="1" spans="2:2" ht="8.5" customHeight="1" x14ac:dyDescent="0.35"/>
    <row r="2" spans="2:2" ht="58" x14ac:dyDescent="0.35">
      <c r="B2" s="62" t="s">
        <v>4342</v>
      </c>
    </row>
    <row r="3" spans="2:2" ht="29" x14ac:dyDescent="0.35">
      <c r="B3" s="5" t="s">
        <v>4343</v>
      </c>
    </row>
    <row r="4" spans="2:2" ht="43.5" x14ac:dyDescent="0.35">
      <c r="B4" s="5" t="s">
        <v>4344</v>
      </c>
    </row>
    <row r="6" spans="2:2" ht="43.5" x14ac:dyDescent="0.35">
      <c r="B6" s="5" t="s">
        <v>4346</v>
      </c>
    </row>
    <row r="7" spans="2:2" ht="43.5" x14ac:dyDescent="0.35">
      <c r="B7" s="5" t="s">
        <v>4542</v>
      </c>
    </row>
    <row r="8" spans="2:2" ht="43.5" x14ac:dyDescent="0.35">
      <c r="B8" s="5" t="s">
        <v>4341</v>
      </c>
    </row>
    <row r="10" spans="2:2" x14ac:dyDescent="0.35">
      <c r="B10" s="62" t="s">
        <v>4345</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77313-0D90-48DC-85BE-46AE1E896C21}">
  <dimension ref="A1:AH131"/>
  <sheetViews>
    <sheetView tabSelected="1" topLeftCell="A31" zoomScale="85" zoomScaleNormal="85" workbookViewId="0">
      <selection activeCell="B50" sqref="B50"/>
    </sheetView>
  </sheetViews>
  <sheetFormatPr baseColWidth="10" defaultRowHeight="14.5" x14ac:dyDescent="0.35"/>
  <cols>
    <col min="1" max="1" width="9.7265625" customWidth="1"/>
    <col min="2" max="2" width="43.36328125" bestFit="1" customWidth="1"/>
    <col min="3" max="3" width="18.90625" customWidth="1"/>
    <col min="4" max="4" width="4.36328125" customWidth="1"/>
    <col min="5" max="5" width="34.54296875" style="5" customWidth="1"/>
    <col min="6" max="6" width="8.81640625" bestFit="1" customWidth="1"/>
    <col min="7" max="11" width="15.36328125" customWidth="1"/>
    <col min="12" max="12" width="11.26953125" customWidth="1"/>
    <col min="13" max="13" width="8.453125" customWidth="1"/>
    <col min="14" max="14" width="9.81640625" customWidth="1"/>
    <col min="15" max="15" width="18.54296875" customWidth="1"/>
    <col min="16" max="16" width="17.08984375" customWidth="1"/>
    <col min="17" max="17" width="255.6328125" bestFit="1" customWidth="1"/>
    <col min="18" max="18" width="20.453125" bestFit="1" customWidth="1"/>
    <col min="19" max="19" width="17.7265625" bestFit="1" customWidth="1"/>
    <col min="20" max="20" width="8.81640625" bestFit="1" customWidth="1"/>
    <col min="21" max="21" width="39.26953125" bestFit="1" customWidth="1"/>
    <col min="22" max="22" width="9.26953125" bestFit="1" customWidth="1"/>
    <col min="23" max="23" width="30" bestFit="1" customWidth="1"/>
    <col min="24" max="24" width="17.54296875" bestFit="1" customWidth="1"/>
    <col min="25" max="25" width="18" bestFit="1" customWidth="1"/>
    <col min="26" max="26" width="31.90625" bestFit="1" customWidth="1"/>
    <col min="27" max="27" width="9" bestFit="1" customWidth="1"/>
    <col min="28" max="28" width="17.54296875" bestFit="1" customWidth="1"/>
  </cols>
  <sheetData>
    <row r="1" spans="1:34" x14ac:dyDescent="0.35">
      <c r="A1" t="s">
        <v>4531</v>
      </c>
      <c r="B1" t="s">
        <v>1257</v>
      </c>
      <c r="C1" t="s">
        <v>0</v>
      </c>
      <c r="D1" t="s">
        <v>1</v>
      </c>
      <c r="E1" s="5" t="s">
        <v>2</v>
      </c>
      <c r="F1" t="s">
        <v>3</v>
      </c>
      <c r="G1" t="s">
        <v>4</v>
      </c>
      <c r="H1" t="s">
        <v>5</v>
      </c>
      <c r="I1" t="s">
        <v>6</v>
      </c>
      <c r="J1" t="s">
        <v>7</v>
      </c>
      <c r="K1" t="s">
        <v>8</v>
      </c>
      <c r="L1" t="s">
        <v>9</v>
      </c>
      <c r="M1" t="s">
        <v>10</v>
      </c>
      <c r="N1" t="s">
        <v>11</v>
      </c>
      <c r="O1" t="s">
        <v>12</v>
      </c>
      <c r="P1" t="s">
        <v>13</v>
      </c>
      <c r="Q1" t="s">
        <v>15</v>
      </c>
      <c r="R1" t="s">
        <v>16</v>
      </c>
      <c r="S1" t="s">
        <v>17</v>
      </c>
      <c r="T1" t="s">
        <v>4300</v>
      </c>
      <c r="U1" t="s">
        <v>1291</v>
      </c>
      <c r="V1" t="s">
        <v>4299</v>
      </c>
      <c r="W1" t="s">
        <v>4298</v>
      </c>
      <c r="X1" t="s">
        <v>4297</v>
      </c>
      <c r="Y1" t="s">
        <v>4296</v>
      </c>
      <c r="Z1" t="s">
        <v>1294</v>
      </c>
      <c r="AA1" t="s">
        <v>1296</v>
      </c>
      <c r="AB1" t="s">
        <v>4295</v>
      </c>
      <c r="AC1" t="s">
        <v>4294</v>
      </c>
      <c r="AD1" t="s">
        <v>18</v>
      </c>
      <c r="AE1" t="s">
        <v>19</v>
      </c>
      <c r="AF1" t="s">
        <v>20</v>
      </c>
      <c r="AG1" t="s">
        <v>21</v>
      </c>
      <c r="AH1" t="s">
        <v>22</v>
      </c>
    </row>
    <row r="2" spans="1:34" ht="26.5" customHeight="1" x14ac:dyDescent="0.35">
      <c r="A2" s="1">
        <v>0</v>
      </c>
      <c r="B2" s="1" t="s">
        <v>4532</v>
      </c>
      <c r="C2" s="1" t="s">
        <v>367</v>
      </c>
      <c r="D2" s="1" t="s">
        <v>368</v>
      </c>
      <c r="E2" s="4" t="s">
        <v>369</v>
      </c>
      <c r="F2">
        <v>2019</v>
      </c>
      <c r="G2" s="1" t="s">
        <v>370</v>
      </c>
      <c r="H2" s="1" t="s">
        <v>64</v>
      </c>
      <c r="I2" s="1" t="s">
        <v>65</v>
      </c>
      <c r="J2" s="1" t="s">
        <v>371</v>
      </c>
      <c r="K2">
        <v>790</v>
      </c>
      <c r="L2">
        <v>799</v>
      </c>
      <c r="N2">
        <v>3</v>
      </c>
      <c r="O2" s="1" t="s">
        <v>372</v>
      </c>
      <c r="P2" s="1" t="s">
        <v>373</v>
      </c>
      <c r="Q2" s="1" t="s">
        <v>374</v>
      </c>
      <c r="R2" s="1" t="s">
        <v>375</v>
      </c>
      <c r="S2" s="1" t="s">
        <v>376</v>
      </c>
      <c r="T2" s="1" t="s">
        <v>28</v>
      </c>
      <c r="U2" s="1" t="s">
        <v>4115</v>
      </c>
      <c r="V2" s="1" t="s">
        <v>28</v>
      </c>
      <c r="W2" s="1" t="s">
        <v>28</v>
      </c>
      <c r="X2" s="1" t="s">
        <v>28</v>
      </c>
      <c r="Z2" s="1" t="s">
        <v>4205</v>
      </c>
      <c r="AA2" s="1" t="s">
        <v>28</v>
      </c>
      <c r="AB2" s="1" t="s">
        <v>28</v>
      </c>
      <c r="AC2" s="1" t="s">
        <v>2242</v>
      </c>
      <c r="AD2" s="1" t="s">
        <v>34</v>
      </c>
      <c r="AE2" s="1" t="s">
        <v>35</v>
      </c>
      <c r="AF2" s="1" t="s">
        <v>28</v>
      </c>
      <c r="AG2" s="1" t="s">
        <v>36</v>
      </c>
      <c r="AH2" s="1" t="s">
        <v>377</v>
      </c>
    </row>
    <row r="3" spans="1:34" ht="25" customHeight="1" x14ac:dyDescent="0.35">
      <c r="A3" s="1">
        <v>0</v>
      </c>
      <c r="B3" s="1" t="s">
        <v>4532</v>
      </c>
      <c r="C3" s="1" t="s">
        <v>408</v>
      </c>
      <c r="D3" s="1" t="s">
        <v>409</v>
      </c>
      <c r="E3" s="4" t="s">
        <v>410</v>
      </c>
      <c r="F3">
        <v>2019</v>
      </c>
      <c r="G3" s="1" t="s">
        <v>300</v>
      </c>
      <c r="H3" s="1" t="s">
        <v>411</v>
      </c>
      <c r="I3" s="1" t="s">
        <v>28</v>
      </c>
      <c r="J3" s="1" t="s">
        <v>412</v>
      </c>
      <c r="K3">
        <v>2411</v>
      </c>
      <c r="L3">
        <v>2422</v>
      </c>
      <c r="N3">
        <v>6</v>
      </c>
      <c r="O3" s="1" t="s">
        <v>413</v>
      </c>
      <c r="P3" s="1" t="s">
        <v>414</v>
      </c>
      <c r="Q3" s="1" t="s">
        <v>415</v>
      </c>
      <c r="R3" s="1" t="s">
        <v>28</v>
      </c>
      <c r="S3" s="1" t="s">
        <v>416</v>
      </c>
      <c r="T3" s="1" t="s">
        <v>4196</v>
      </c>
      <c r="U3" s="1" t="s">
        <v>4115</v>
      </c>
      <c r="V3" s="1" t="s">
        <v>4195</v>
      </c>
      <c r="W3" s="1" t="s">
        <v>4194</v>
      </c>
      <c r="X3" s="1" t="s">
        <v>28</v>
      </c>
      <c r="Y3">
        <v>144832</v>
      </c>
      <c r="Z3" s="1" t="s">
        <v>4112</v>
      </c>
      <c r="AA3" s="1" t="s">
        <v>4193</v>
      </c>
      <c r="AB3" s="1" t="s">
        <v>4110</v>
      </c>
      <c r="AC3" s="1" t="s">
        <v>2242</v>
      </c>
      <c r="AD3" s="1" t="s">
        <v>176</v>
      </c>
      <c r="AE3" s="1" t="s">
        <v>35</v>
      </c>
      <c r="AF3" s="1" t="s">
        <v>28</v>
      </c>
      <c r="AG3" s="1" t="s">
        <v>36</v>
      </c>
      <c r="AH3" s="1" t="s">
        <v>417</v>
      </c>
    </row>
    <row r="4" spans="1:34" ht="24.5" customHeight="1" x14ac:dyDescent="0.35">
      <c r="A4" s="1">
        <v>4</v>
      </c>
      <c r="B4" s="1" t="s">
        <v>4535</v>
      </c>
      <c r="C4" s="1" t="s">
        <v>49</v>
      </c>
      <c r="D4" s="1" t="s">
        <v>4278</v>
      </c>
      <c r="E4" s="4" t="s">
        <v>50</v>
      </c>
      <c r="F4">
        <v>2022</v>
      </c>
      <c r="G4" s="1" t="s">
        <v>51</v>
      </c>
      <c r="H4" s="1" t="s">
        <v>52</v>
      </c>
      <c r="I4" s="1" t="s">
        <v>28</v>
      </c>
      <c r="J4" s="1" t="s">
        <v>53</v>
      </c>
      <c r="N4">
        <v>1</v>
      </c>
      <c r="O4" s="1" t="s">
        <v>54</v>
      </c>
      <c r="P4" s="1" t="s">
        <v>55</v>
      </c>
      <c r="Q4" s="1" t="s">
        <v>56</v>
      </c>
      <c r="R4" s="1" t="s">
        <v>57</v>
      </c>
      <c r="S4" s="1" t="s">
        <v>58</v>
      </c>
      <c r="T4" s="1" t="s">
        <v>28</v>
      </c>
      <c r="U4" s="1" t="s">
        <v>4098</v>
      </c>
      <c r="V4" s="1" t="s">
        <v>28</v>
      </c>
      <c r="W4" s="1" t="s">
        <v>28</v>
      </c>
      <c r="X4" s="1" t="s">
        <v>28</v>
      </c>
      <c r="Z4" s="1" t="s">
        <v>4204</v>
      </c>
      <c r="AA4" s="1" t="s">
        <v>28</v>
      </c>
      <c r="AB4" s="1" t="s">
        <v>4203</v>
      </c>
      <c r="AC4" s="1" t="s">
        <v>2242</v>
      </c>
      <c r="AD4" s="1" t="s">
        <v>34</v>
      </c>
      <c r="AE4" s="1" t="s">
        <v>35</v>
      </c>
      <c r="AF4" s="1" t="s">
        <v>28</v>
      </c>
      <c r="AG4" s="1" t="s">
        <v>36</v>
      </c>
      <c r="AH4" s="1" t="s">
        <v>59</v>
      </c>
    </row>
    <row r="5" spans="1:34" ht="15" customHeight="1" x14ac:dyDescent="0.35">
      <c r="A5" s="1">
        <v>3</v>
      </c>
      <c r="B5" s="1" t="s">
        <v>2149</v>
      </c>
      <c r="C5" s="1" t="s">
        <v>4293</v>
      </c>
      <c r="D5" s="1" t="s">
        <v>4292</v>
      </c>
      <c r="E5" s="4" t="s">
        <v>4291</v>
      </c>
      <c r="F5">
        <v>2022</v>
      </c>
      <c r="G5" s="1" t="s">
        <v>4290</v>
      </c>
      <c r="H5" s="1" t="s">
        <v>4289</v>
      </c>
      <c r="I5" s="1" t="s">
        <v>28</v>
      </c>
      <c r="J5" s="1" t="s">
        <v>28</v>
      </c>
      <c r="K5">
        <v>669</v>
      </c>
      <c r="L5">
        <v>689</v>
      </c>
      <c r="O5" s="1" t="s">
        <v>4288</v>
      </c>
      <c r="P5" s="1" t="s">
        <v>4287</v>
      </c>
      <c r="Q5" s="4" t="s">
        <v>4286</v>
      </c>
      <c r="R5" s="1" t="s">
        <v>4285</v>
      </c>
      <c r="S5" s="1" t="s">
        <v>4284</v>
      </c>
      <c r="T5" s="1" t="s">
        <v>28</v>
      </c>
      <c r="U5" s="1" t="s">
        <v>4176</v>
      </c>
      <c r="V5" s="1" t="s">
        <v>28</v>
      </c>
      <c r="W5" s="1" t="s">
        <v>28</v>
      </c>
      <c r="X5" s="1" t="s">
        <v>28</v>
      </c>
      <c r="Z5" s="1" t="s">
        <v>4283</v>
      </c>
      <c r="AA5" s="1" t="s">
        <v>28</v>
      </c>
      <c r="AB5" s="1" t="s">
        <v>28</v>
      </c>
      <c r="AC5" s="1" t="s">
        <v>2242</v>
      </c>
      <c r="AD5" s="1" t="s">
        <v>34</v>
      </c>
      <c r="AE5" s="1" t="s">
        <v>35</v>
      </c>
      <c r="AF5" s="1" t="s">
        <v>28</v>
      </c>
      <c r="AG5" s="1" t="s">
        <v>36</v>
      </c>
      <c r="AH5" s="1" t="s">
        <v>4282</v>
      </c>
    </row>
    <row r="6" spans="1:34" ht="15" customHeight="1" x14ac:dyDescent="0.35">
      <c r="A6" s="1">
        <v>3</v>
      </c>
      <c r="B6" s="1" t="s">
        <v>2149</v>
      </c>
      <c r="C6" s="1" t="s">
        <v>4265</v>
      </c>
      <c r="D6" s="1" t="s">
        <v>4264</v>
      </c>
      <c r="E6" s="4" t="s">
        <v>2922</v>
      </c>
      <c r="F6">
        <v>2022</v>
      </c>
      <c r="G6" s="1" t="s">
        <v>4263</v>
      </c>
      <c r="H6" s="1" t="s">
        <v>28</v>
      </c>
      <c r="I6" s="1" t="s">
        <v>28</v>
      </c>
      <c r="J6" s="1" t="s">
        <v>28</v>
      </c>
      <c r="O6" s="1" t="s">
        <v>2931</v>
      </c>
      <c r="P6" s="1" t="s">
        <v>4262</v>
      </c>
      <c r="Q6" s="4" t="s">
        <v>4261</v>
      </c>
      <c r="R6" s="1" t="s">
        <v>2923</v>
      </c>
      <c r="S6" s="1" t="s">
        <v>28</v>
      </c>
      <c r="T6" s="1" t="s">
        <v>28</v>
      </c>
      <c r="U6" s="1" t="s">
        <v>4143</v>
      </c>
      <c r="V6" s="1" t="s">
        <v>28</v>
      </c>
      <c r="W6" s="1" t="s">
        <v>28</v>
      </c>
      <c r="X6" s="1" t="s">
        <v>28</v>
      </c>
      <c r="Z6" s="1" t="s">
        <v>4260</v>
      </c>
      <c r="AA6" s="1" t="s">
        <v>28</v>
      </c>
      <c r="AB6" s="1" t="s">
        <v>4259</v>
      </c>
      <c r="AC6" s="1" t="s">
        <v>2242</v>
      </c>
      <c r="AD6" s="1" t="s">
        <v>34</v>
      </c>
      <c r="AE6" s="1" t="s">
        <v>4258</v>
      </c>
      <c r="AF6" s="1" t="s">
        <v>28</v>
      </c>
      <c r="AG6" s="1" t="s">
        <v>36</v>
      </c>
      <c r="AH6" s="1" t="s">
        <v>4257</v>
      </c>
    </row>
    <row r="7" spans="1:34" ht="14" customHeight="1" x14ac:dyDescent="0.35">
      <c r="A7" s="1">
        <v>4</v>
      </c>
      <c r="B7" s="1" t="s">
        <v>4535</v>
      </c>
      <c r="C7" s="1" t="s">
        <v>23</v>
      </c>
      <c r="D7" s="1" t="s">
        <v>24</v>
      </c>
      <c r="E7" s="4" t="s">
        <v>25</v>
      </c>
      <c r="F7">
        <v>2022</v>
      </c>
      <c r="G7" s="1" t="s">
        <v>26</v>
      </c>
      <c r="H7" s="1" t="s">
        <v>27</v>
      </c>
      <c r="I7" s="1" t="s">
        <v>28</v>
      </c>
      <c r="J7" s="1" t="s">
        <v>29</v>
      </c>
      <c r="O7" s="1" t="s">
        <v>30</v>
      </c>
      <c r="P7" s="1" t="s">
        <v>31</v>
      </c>
      <c r="Q7" s="1" t="s">
        <v>32</v>
      </c>
      <c r="R7" s="1" t="s">
        <v>33</v>
      </c>
      <c r="S7" s="1" t="s">
        <v>4281</v>
      </c>
      <c r="T7" s="1" t="s">
        <v>28</v>
      </c>
      <c r="U7" s="1" t="s">
        <v>4176</v>
      </c>
      <c r="V7" s="1" t="s">
        <v>28</v>
      </c>
      <c r="W7" s="1" t="s">
        <v>28</v>
      </c>
      <c r="X7" s="1" t="s">
        <v>28</v>
      </c>
      <c r="Z7" s="1" t="s">
        <v>4280</v>
      </c>
      <c r="AA7" s="1" t="s">
        <v>28</v>
      </c>
      <c r="AB7" s="1" t="s">
        <v>4279</v>
      </c>
      <c r="AC7" s="1" t="s">
        <v>2242</v>
      </c>
      <c r="AD7" s="1" t="s">
        <v>34</v>
      </c>
      <c r="AE7" s="1" t="s">
        <v>35</v>
      </c>
      <c r="AF7" s="1" t="s">
        <v>28</v>
      </c>
      <c r="AG7" s="1" t="s">
        <v>36</v>
      </c>
      <c r="AH7" s="1" t="s">
        <v>37</v>
      </c>
    </row>
    <row r="8" spans="1:34" ht="23.5" customHeight="1" x14ac:dyDescent="0.35">
      <c r="A8" s="1">
        <v>4</v>
      </c>
      <c r="B8" s="1" t="s">
        <v>4535</v>
      </c>
      <c r="C8" s="1" t="s">
        <v>38</v>
      </c>
      <c r="D8" s="1" t="s">
        <v>3969</v>
      </c>
      <c r="E8" s="4" t="s">
        <v>39</v>
      </c>
      <c r="F8">
        <v>2022</v>
      </c>
      <c r="G8" s="1" t="s">
        <v>40</v>
      </c>
      <c r="H8" s="1" t="s">
        <v>41</v>
      </c>
      <c r="I8" s="1" t="s">
        <v>28</v>
      </c>
      <c r="J8" s="1" t="s">
        <v>42</v>
      </c>
      <c r="O8" s="1" t="s">
        <v>43</v>
      </c>
      <c r="P8" s="1" t="s">
        <v>44</v>
      </c>
      <c r="Q8" s="1" t="s">
        <v>45</v>
      </c>
      <c r="R8" s="1" t="s">
        <v>46</v>
      </c>
      <c r="S8" s="1" t="s">
        <v>47</v>
      </c>
      <c r="T8" s="1" t="s">
        <v>28</v>
      </c>
      <c r="U8" s="1" t="s">
        <v>4098</v>
      </c>
      <c r="V8" s="1" t="s">
        <v>28</v>
      </c>
      <c r="W8" s="1" t="s">
        <v>28</v>
      </c>
      <c r="X8" s="1" t="s">
        <v>28</v>
      </c>
      <c r="Z8" s="1" t="s">
        <v>4162</v>
      </c>
      <c r="AA8" s="1" t="s">
        <v>28</v>
      </c>
      <c r="AB8" s="1" t="s">
        <v>4161</v>
      </c>
      <c r="AC8" s="1" t="s">
        <v>2242</v>
      </c>
      <c r="AD8" s="1" t="s">
        <v>34</v>
      </c>
      <c r="AE8" s="1" t="s">
        <v>35</v>
      </c>
      <c r="AF8" s="1" t="s">
        <v>28</v>
      </c>
      <c r="AG8" s="1" t="s">
        <v>36</v>
      </c>
      <c r="AH8" s="1" t="s">
        <v>48</v>
      </c>
    </row>
    <row r="9" spans="1:34" ht="27.5" customHeight="1" x14ac:dyDescent="0.35">
      <c r="A9" s="1">
        <v>0</v>
      </c>
      <c r="B9" s="1" t="s">
        <v>4532</v>
      </c>
      <c r="C9" s="1" t="s">
        <v>1218</v>
      </c>
      <c r="D9" s="1" t="s">
        <v>1219</v>
      </c>
      <c r="E9" s="4" t="s">
        <v>1220</v>
      </c>
      <c r="F9">
        <v>2005</v>
      </c>
      <c r="G9" s="1" t="s">
        <v>1221</v>
      </c>
      <c r="H9" s="1" t="s">
        <v>1222</v>
      </c>
      <c r="I9" s="1" t="s">
        <v>113</v>
      </c>
      <c r="J9" s="1" t="s">
        <v>28</v>
      </c>
      <c r="K9">
        <v>175</v>
      </c>
      <c r="L9">
        <v>187</v>
      </c>
      <c r="N9">
        <v>99</v>
      </c>
      <c r="O9" s="1" t="s">
        <v>1223</v>
      </c>
      <c r="P9" s="1" t="s">
        <v>1224</v>
      </c>
      <c r="Q9" s="1" t="s">
        <v>1225</v>
      </c>
      <c r="R9" s="1" t="s">
        <v>1226</v>
      </c>
      <c r="S9" s="1" t="s">
        <v>1227</v>
      </c>
      <c r="T9" s="1" t="s">
        <v>28</v>
      </c>
      <c r="U9" s="1" t="s">
        <v>28</v>
      </c>
      <c r="V9" s="1" t="s">
        <v>28</v>
      </c>
      <c r="W9" s="1" t="s">
        <v>28</v>
      </c>
      <c r="X9" s="1" t="s">
        <v>28</v>
      </c>
      <c r="Z9" s="1" t="s">
        <v>3974</v>
      </c>
      <c r="AA9" s="1" t="s">
        <v>28</v>
      </c>
      <c r="AB9" s="1" t="s">
        <v>28</v>
      </c>
      <c r="AC9" s="1" t="s">
        <v>2242</v>
      </c>
      <c r="AD9" s="1" t="s">
        <v>34</v>
      </c>
      <c r="AE9" s="1" t="s">
        <v>35</v>
      </c>
      <c r="AF9" s="1" t="s">
        <v>3970</v>
      </c>
      <c r="AG9" s="1" t="s">
        <v>36</v>
      </c>
      <c r="AH9" s="1" t="s">
        <v>1228</v>
      </c>
    </row>
    <row r="10" spans="1:34" ht="21.5" customHeight="1" x14ac:dyDescent="0.35">
      <c r="A10" s="1">
        <v>6</v>
      </c>
      <c r="B10" s="1" t="s">
        <v>4538</v>
      </c>
      <c r="C10" s="1" t="s">
        <v>120</v>
      </c>
      <c r="D10" s="1" t="s">
        <v>121</v>
      </c>
      <c r="E10" s="4" t="s">
        <v>122</v>
      </c>
      <c r="F10">
        <v>2021</v>
      </c>
      <c r="G10" s="1" t="s">
        <v>123</v>
      </c>
      <c r="H10" s="1" t="s">
        <v>124</v>
      </c>
      <c r="I10" s="1" t="s">
        <v>125</v>
      </c>
      <c r="J10" s="1" t="s">
        <v>126</v>
      </c>
      <c r="N10">
        <v>3</v>
      </c>
      <c r="O10" s="1" t="s">
        <v>127</v>
      </c>
      <c r="P10" s="1" t="s">
        <v>128</v>
      </c>
      <c r="Q10" s="1" t="s">
        <v>129</v>
      </c>
      <c r="R10" s="1" t="s">
        <v>130</v>
      </c>
      <c r="S10" s="1" t="s">
        <v>131</v>
      </c>
      <c r="T10" s="1" t="s">
        <v>28</v>
      </c>
      <c r="U10" s="1" t="s">
        <v>4067</v>
      </c>
      <c r="V10" s="1" t="s">
        <v>28</v>
      </c>
      <c r="W10" s="1" t="s">
        <v>28</v>
      </c>
      <c r="X10" s="1" t="s">
        <v>28</v>
      </c>
      <c r="Z10" s="1" t="s">
        <v>4253</v>
      </c>
      <c r="AA10" s="1" t="s">
        <v>28</v>
      </c>
      <c r="AB10" s="1" t="s">
        <v>4252</v>
      </c>
      <c r="AC10" s="1" t="s">
        <v>2242</v>
      </c>
      <c r="AD10" s="1" t="s">
        <v>34</v>
      </c>
      <c r="AE10" s="1" t="s">
        <v>35</v>
      </c>
      <c r="AF10" s="1" t="s">
        <v>28</v>
      </c>
      <c r="AG10" s="1" t="s">
        <v>36</v>
      </c>
      <c r="AH10" s="1" t="s">
        <v>132</v>
      </c>
    </row>
    <row r="11" spans="1:34" ht="21.5" customHeight="1" x14ac:dyDescent="0.35">
      <c r="A11" s="1">
        <v>4</v>
      </c>
      <c r="B11" s="1" t="s">
        <v>4535</v>
      </c>
      <c r="C11" s="1" t="s">
        <v>145</v>
      </c>
      <c r="D11" s="1" t="s">
        <v>4251</v>
      </c>
      <c r="E11" s="4" t="s">
        <v>146</v>
      </c>
      <c r="F11">
        <v>2021</v>
      </c>
      <c r="G11" s="1" t="s">
        <v>136</v>
      </c>
      <c r="H11" s="1" t="s">
        <v>147</v>
      </c>
      <c r="I11" s="1" t="s">
        <v>28</v>
      </c>
      <c r="J11" s="1" t="s">
        <v>148</v>
      </c>
      <c r="N11">
        <v>4</v>
      </c>
      <c r="O11" s="1" t="s">
        <v>149</v>
      </c>
      <c r="P11" s="1" t="s">
        <v>150</v>
      </c>
      <c r="Q11" s="1" t="s">
        <v>151</v>
      </c>
      <c r="R11" s="1" t="s">
        <v>152</v>
      </c>
      <c r="S11" s="1" t="s">
        <v>153</v>
      </c>
      <c r="T11" s="1" t="s">
        <v>28</v>
      </c>
      <c r="U11" s="1" t="s">
        <v>4176</v>
      </c>
      <c r="V11" s="1" t="s">
        <v>28</v>
      </c>
      <c r="W11" s="1" t="s">
        <v>28</v>
      </c>
      <c r="X11" s="1" t="s">
        <v>28</v>
      </c>
      <c r="Z11" s="1" t="s">
        <v>4250</v>
      </c>
      <c r="AA11" s="1" t="s">
        <v>28</v>
      </c>
      <c r="AB11" s="1" t="s">
        <v>4249</v>
      </c>
      <c r="AC11" s="1" t="s">
        <v>2242</v>
      </c>
      <c r="AD11" s="1" t="s">
        <v>34</v>
      </c>
      <c r="AE11" s="1" t="s">
        <v>35</v>
      </c>
      <c r="AF11" s="1" t="s">
        <v>28</v>
      </c>
      <c r="AG11" s="1" t="s">
        <v>36</v>
      </c>
      <c r="AH11" s="1" t="s">
        <v>154</v>
      </c>
    </row>
    <row r="12" spans="1:34" ht="23" customHeight="1" x14ac:dyDescent="0.35">
      <c r="A12" s="1">
        <v>4</v>
      </c>
      <c r="B12" s="1" t="s">
        <v>4535</v>
      </c>
      <c r="C12" s="1" t="s">
        <v>133</v>
      </c>
      <c r="D12" s="1" t="s">
        <v>134</v>
      </c>
      <c r="E12" s="4" t="s">
        <v>135</v>
      </c>
      <c r="F12">
        <v>2021</v>
      </c>
      <c r="G12" s="1" t="s">
        <v>136</v>
      </c>
      <c r="H12" s="1" t="s">
        <v>137</v>
      </c>
      <c r="I12" s="1" t="s">
        <v>28</v>
      </c>
      <c r="J12" s="1" t="s">
        <v>138</v>
      </c>
      <c r="N12">
        <v>5</v>
      </c>
      <c r="O12" s="1" t="s">
        <v>139</v>
      </c>
      <c r="P12" s="1" t="s">
        <v>140</v>
      </c>
      <c r="Q12" s="1" t="s">
        <v>141</v>
      </c>
      <c r="R12" s="1" t="s">
        <v>142</v>
      </c>
      <c r="S12" s="1" t="s">
        <v>143</v>
      </c>
      <c r="T12" s="1" t="s">
        <v>28</v>
      </c>
      <c r="U12" s="1" t="s">
        <v>4176</v>
      </c>
      <c r="V12" s="1" t="s">
        <v>28</v>
      </c>
      <c r="W12" s="1" t="s">
        <v>28</v>
      </c>
      <c r="X12" s="1" t="s">
        <v>28</v>
      </c>
      <c r="Z12" s="1" t="s">
        <v>4250</v>
      </c>
      <c r="AA12" s="1" t="s">
        <v>28</v>
      </c>
      <c r="AB12" s="1" t="s">
        <v>4249</v>
      </c>
      <c r="AC12" s="1" t="s">
        <v>2242</v>
      </c>
      <c r="AD12" s="1" t="s">
        <v>34</v>
      </c>
      <c r="AE12" s="1" t="s">
        <v>35</v>
      </c>
      <c r="AF12" s="1" t="s">
        <v>28</v>
      </c>
      <c r="AG12" s="1" t="s">
        <v>36</v>
      </c>
      <c r="AH12" s="1" t="s">
        <v>144</v>
      </c>
    </row>
    <row r="13" spans="1:34" ht="19" customHeight="1" x14ac:dyDescent="0.35">
      <c r="A13" s="1">
        <v>0</v>
      </c>
      <c r="B13" s="1" t="s">
        <v>4532</v>
      </c>
      <c r="C13" s="1" t="s">
        <v>1112</v>
      </c>
      <c r="D13" s="1" t="s">
        <v>1113</v>
      </c>
      <c r="E13" s="4" t="s">
        <v>1114</v>
      </c>
      <c r="F13">
        <v>2008</v>
      </c>
      <c r="G13" s="1" t="s">
        <v>461</v>
      </c>
      <c r="H13" s="1" t="s">
        <v>1073</v>
      </c>
      <c r="I13" s="1" t="s">
        <v>440</v>
      </c>
      <c r="J13" s="1" t="s">
        <v>28</v>
      </c>
      <c r="K13">
        <v>1095</v>
      </c>
      <c r="L13">
        <v>1121</v>
      </c>
      <c r="N13">
        <v>89</v>
      </c>
      <c r="O13" s="1" t="s">
        <v>1115</v>
      </c>
      <c r="P13" s="1" t="s">
        <v>1116</v>
      </c>
      <c r="Q13" s="1" t="s">
        <v>1117</v>
      </c>
      <c r="R13" s="1" t="s">
        <v>1118</v>
      </c>
      <c r="S13" s="1" t="s">
        <v>1119</v>
      </c>
      <c r="T13" s="1" t="s">
        <v>28</v>
      </c>
      <c r="U13" s="1" t="s">
        <v>28</v>
      </c>
      <c r="V13" s="1" t="s">
        <v>28</v>
      </c>
      <c r="W13" s="1" t="s">
        <v>28</v>
      </c>
      <c r="X13" s="1" t="s">
        <v>28</v>
      </c>
      <c r="Z13" s="1" t="s">
        <v>4012</v>
      </c>
      <c r="AA13" s="1" t="s">
        <v>28</v>
      </c>
      <c r="AB13" s="1" t="s">
        <v>4011</v>
      </c>
      <c r="AC13" s="1" t="s">
        <v>2242</v>
      </c>
      <c r="AD13" s="1" t="s">
        <v>34</v>
      </c>
      <c r="AE13" s="1" t="s">
        <v>35</v>
      </c>
      <c r="AF13" s="1" t="s">
        <v>28</v>
      </c>
      <c r="AG13" s="1" t="s">
        <v>36</v>
      </c>
      <c r="AH13" s="1" t="s">
        <v>1120</v>
      </c>
    </row>
    <row r="14" spans="1:34" ht="23" customHeight="1" x14ac:dyDescent="0.35">
      <c r="A14" s="1">
        <v>3</v>
      </c>
      <c r="B14" s="1" t="s">
        <v>2149</v>
      </c>
      <c r="C14" s="1" t="s">
        <v>108</v>
      </c>
      <c r="D14" s="1" t="s">
        <v>109</v>
      </c>
      <c r="E14" s="4" t="s">
        <v>110</v>
      </c>
      <c r="F14">
        <v>2021</v>
      </c>
      <c r="G14" s="1" t="s">
        <v>111</v>
      </c>
      <c r="H14" s="1" t="s">
        <v>112</v>
      </c>
      <c r="I14" s="1" t="s">
        <v>113</v>
      </c>
      <c r="J14" s="1" t="s">
        <v>114</v>
      </c>
      <c r="N14">
        <v>4</v>
      </c>
      <c r="O14" s="1" t="s">
        <v>115</v>
      </c>
      <c r="P14" s="1" t="s">
        <v>116</v>
      </c>
      <c r="Q14" s="1" t="s">
        <v>117</v>
      </c>
      <c r="R14" s="1" t="s">
        <v>118</v>
      </c>
      <c r="S14" s="1" t="s">
        <v>28</v>
      </c>
      <c r="T14" s="1" t="s">
        <v>28</v>
      </c>
      <c r="U14" s="1" t="s">
        <v>4098</v>
      </c>
      <c r="V14" s="1" t="s">
        <v>28</v>
      </c>
      <c r="W14" s="1" t="s">
        <v>28</v>
      </c>
      <c r="X14" s="1" t="s">
        <v>28</v>
      </c>
      <c r="Z14" s="1" t="s">
        <v>4254</v>
      </c>
      <c r="AA14" s="1" t="s">
        <v>28</v>
      </c>
      <c r="AB14" s="1" t="s">
        <v>28</v>
      </c>
      <c r="AC14" s="1" t="s">
        <v>2242</v>
      </c>
      <c r="AD14" s="1" t="s">
        <v>34</v>
      </c>
      <c r="AE14" s="1" t="s">
        <v>35</v>
      </c>
      <c r="AF14" s="1" t="s">
        <v>28</v>
      </c>
      <c r="AG14" s="1" t="s">
        <v>36</v>
      </c>
      <c r="AH14" s="1" t="s">
        <v>119</v>
      </c>
    </row>
    <row r="15" spans="1:34" ht="19" customHeight="1" x14ac:dyDescent="0.35">
      <c r="A15" s="1">
        <v>4</v>
      </c>
      <c r="B15" s="1" t="s">
        <v>4535</v>
      </c>
      <c r="C15" s="1" t="s">
        <v>97</v>
      </c>
      <c r="D15" s="1" t="s">
        <v>98</v>
      </c>
      <c r="E15" s="4" t="s">
        <v>99</v>
      </c>
      <c r="F15">
        <v>2021</v>
      </c>
      <c r="G15" s="1" t="s">
        <v>40</v>
      </c>
      <c r="H15" s="1" t="s">
        <v>100</v>
      </c>
      <c r="I15" s="1" t="s">
        <v>28</v>
      </c>
      <c r="J15" s="1" t="s">
        <v>101</v>
      </c>
      <c r="N15">
        <v>1</v>
      </c>
      <c r="O15" s="1" t="s">
        <v>102</v>
      </c>
      <c r="P15" s="1" t="s">
        <v>103</v>
      </c>
      <c r="Q15" s="1" t="s">
        <v>104</v>
      </c>
      <c r="R15" s="1" t="s">
        <v>105</v>
      </c>
      <c r="S15" s="1" t="s">
        <v>106</v>
      </c>
      <c r="T15" s="1" t="s">
        <v>28</v>
      </c>
      <c r="U15" s="1" t="s">
        <v>4098</v>
      </c>
      <c r="V15" s="1" t="s">
        <v>28</v>
      </c>
      <c r="W15" s="1" t="s">
        <v>28</v>
      </c>
      <c r="X15" s="1" t="s">
        <v>28</v>
      </c>
      <c r="Z15" s="1" t="s">
        <v>4162</v>
      </c>
      <c r="AA15" s="1" t="s">
        <v>28</v>
      </c>
      <c r="AB15" s="1" t="s">
        <v>4161</v>
      </c>
      <c r="AC15" s="1" t="s">
        <v>2242</v>
      </c>
      <c r="AD15" s="1" t="s">
        <v>34</v>
      </c>
      <c r="AE15" s="1" t="s">
        <v>35</v>
      </c>
      <c r="AF15" s="1" t="s">
        <v>28</v>
      </c>
      <c r="AG15" s="1" t="s">
        <v>36</v>
      </c>
      <c r="AH15" s="1" t="s">
        <v>107</v>
      </c>
    </row>
    <row r="16" spans="1:34" ht="21.5" customHeight="1" x14ac:dyDescent="0.35">
      <c r="A16" s="1">
        <v>0</v>
      </c>
      <c r="B16" s="1" t="s">
        <v>4532</v>
      </c>
      <c r="C16" s="1" t="s">
        <v>1070</v>
      </c>
      <c r="D16" s="1" t="s">
        <v>1071</v>
      </c>
      <c r="E16" s="4" t="s">
        <v>1072</v>
      </c>
      <c r="F16">
        <v>2009</v>
      </c>
      <c r="G16" s="1" t="s">
        <v>866</v>
      </c>
      <c r="H16" s="1" t="s">
        <v>1073</v>
      </c>
      <c r="I16" s="1" t="s">
        <v>573</v>
      </c>
      <c r="J16" s="1" t="s">
        <v>28</v>
      </c>
      <c r="K16">
        <v>3267</v>
      </c>
      <c r="L16">
        <v>3295</v>
      </c>
      <c r="N16">
        <v>74</v>
      </c>
      <c r="O16" s="1" t="s">
        <v>1074</v>
      </c>
      <c r="P16" s="1" t="s">
        <v>1075</v>
      </c>
      <c r="Q16" s="1" t="s">
        <v>1076</v>
      </c>
      <c r="R16" s="1" t="s">
        <v>1077</v>
      </c>
      <c r="S16" s="1" t="s">
        <v>1078</v>
      </c>
      <c r="T16" s="1" t="s">
        <v>28</v>
      </c>
      <c r="U16" s="1" t="s">
        <v>28</v>
      </c>
      <c r="V16" s="1" t="s">
        <v>28</v>
      </c>
      <c r="W16" s="1" t="s">
        <v>28</v>
      </c>
      <c r="X16" s="1" t="s">
        <v>28</v>
      </c>
      <c r="Z16" s="1" t="s">
        <v>3997</v>
      </c>
      <c r="AA16" s="1" t="s">
        <v>28</v>
      </c>
      <c r="AB16" s="1" t="s">
        <v>28</v>
      </c>
      <c r="AC16" s="1" t="s">
        <v>2242</v>
      </c>
      <c r="AD16" s="1" t="s">
        <v>34</v>
      </c>
      <c r="AE16" s="1" t="s">
        <v>35</v>
      </c>
      <c r="AF16" s="1" t="s">
        <v>28</v>
      </c>
      <c r="AG16" s="1" t="s">
        <v>36</v>
      </c>
      <c r="AH16" s="1" t="s">
        <v>1079</v>
      </c>
    </row>
    <row r="17" spans="1:34" ht="16.5" customHeight="1" x14ac:dyDescent="0.35">
      <c r="A17" s="1">
        <v>3</v>
      </c>
      <c r="B17" s="1" t="s">
        <v>2149</v>
      </c>
      <c r="C17" s="1" t="s">
        <v>73</v>
      </c>
      <c r="D17" s="1" t="s">
        <v>74</v>
      </c>
      <c r="E17" s="4" t="s">
        <v>75</v>
      </c>
      <c r="F17">
        <v>2021</v>
      </c>
      <c r="G17" s="1" t="s">
        <v>76</v>
      </c>
      <c r="H17" s="1" t="s">
        <v>77</v>
      </c>
      <c r="I17" s="1" t="s">
        <v>78</v>
      </c>
      <c r="J17" s="1" t="s">
        <v>79</v>
      </c>
      <c r="O17" s="1" t="s">
        <v>80</v>
      </c>
      <c r="P17" s="1" t="s">
        <v>81</v>
      </c>
      <c r="Q17" s="1" t="s">
        <v>82</v>
      </c>
      <c r="R17" s="1" t="s">
        <v>28</v>
      </c>
      <c r="S17" s="1" t="s">
        <v>83</v>
      </c>
      <c r="T17" s="1" t="s">
        <v>28</v>
      </c>
      <c r="U17" s="1" t="s">
        <v>4256</v>
      </c>
      <c r="V17" s="1" t="s">
        <v>28</v>
      </c>
      <c r="W17" s="1" t="s">
        <v>28</v>
      </c>
      <c r="X17" s="1" t="s">
        <v>28</v>
      </c>
      <c r="Z17" s="1" t="s">
        <v>4255</v>
      </c>
      <c r="AA17" s="1" t="s">
        <v>28</v>
      </c>
      <c r="AB17" s="1" t="s">
        <v>28</v>
      </c>
      <c r="AC17" s="1" t="s">
        <v>2242</v>
      </c>
      <c r="AD17" s="1" t="s">
        <v>34</v>
      </c>
      <c r="AE17" s="1" t="s">
        <v>35</v>
      </c>
      <c r="AF17" s="1" t="s">
        <v>4059</v>
      </c>
      <c r="AG17" s="1" t="s">
        <v>36</v>
      </c>
      <c r="AH17" s="1" t="s">
        <v>84</v>
      </c>
    </row>
    <row r="18" spans="1:34" ht="43.5" x14ac:dyDescent="0.35">
      <c r="A18" s="1">
        <v>2</v>
      </c>
      <c r="B18" s="1" t="s">
        <v>1259</v>
      </c>
      <c r="C18" s="1" t="s">
        <v>268</v>
      </c>
      <c r="D18" s="1" t="s">
        <v>269</v>
      </c>
      <c r="E18" s="4" t="s">
        <v>270</v>
      </c>
      <c r="F18">
        <v>2020</v>
      </c>
      <c r="G18" s="1" t="s">
        <v>271</v>
      </c>
      <c r="H18" s="1" t="s">
        <v>272</v>
      </c>
      <c r="I18" s="1" t="s">
        <v>28</v>
      </c>
      <c r="J18" s="1" t="s">
        <v>28</v>
      </c>
      <c r="M18">
        <v>404</v>
      </c>
      <c r="O18" s="1" t="s">
        <v>28</v>
      </c>
      <c r="P18" s="1" t="s">
        <v>273</v>
      </c>
      <c r="Q18" s="1" t="s">
        <v>274</v>
      </c>
      <c r="R18" s="1" t="s">
        <v>28</v>
      </c>
      <c r="S18" s="1" t="s">
        <v>28</v>
      </c>
      <c r="T18" s="1" t="s">
        <v>28</v>
      </c>
      <c r="U18" s="1" t="s">
        <v>4143</v>
      </c>
      <c r="V18" s="1" t="s">
        <v>270</v>
      </c>
      <c r="W18" s="1" t="s">
        <v>4227</v>
      </c>
      <c r="X18" s="1" t="s">
        <v>28</v>
      </c>
      <c r="Y18">
        <v>252949</v>
      </c>
      <c r="Z18" s="1" t="s">
        <v>3976</v>
      </c>
      <c r="AA18" s="1" t="s">
        <v>4226</v>
      </c>
      <c r="AB18" s="1" t="s">
        <v>28</v>
      </c>
      <c r="AC18" s="1" t="s">
        <v>2242</v>
      </c>
      <c r="AD18" s="1" t="s">
        <v>275</v>
      </c>
      <c r="AE18" s="1" t="s">
        <v>35</v>
      </c>
      <c r="AF18" s="1" t="s">
        <v>28</v>
      </c>
      <c r="AG18" s="1" t="s">
        <v>36</v>
      </c>
      <c r="AH18" s="1" t="s">
        <v>276</v>
      </c>
    </row>
    <row r="19" spans="1:34" ht="29" x14ac:dyDescent="0.35">
      <c r="A19" s="1">
        <v>5</v>
      </c>
      <c r="B19" s="1" t="s">
        <v>4539</v>
      </c>
      <c r="C19" s="1" t="s">
        <v>199</v>
      </c>
      <c r="D19" s="1" t="s">
        <v>200</v>
      </c>
      <c r="E19" s="4" t="s">
        <v>201</v>
      </c>
      <c r="F19">
        <v>2020</v>
      </c>
      <c r="G19" s="1" t="s">
        <v>202</v>
      </c>
      <c r="H19" s="1" t="s">
        <v>203</v>
      </c>
      <c r="I19" s="1" t="s">
        <v>77</v>
      </c>
      <c r="J19" s="1" t="s">
        <v>204</v>
      </c>
      <c r="K19">
        <v>1</v>
      </c>
      <c r="L19">
        <v>30</v>
      </c>
      <c r="N19">
        <v>5</v>
      </c>
      <c r="O19" s="1" t="s">
        <v>205</v>
      </c>
      <c r="P19" s="1" t="s">
        <v>206</v>
      </c>
      <c r="Q19" s="1" t="s">
        <v>207</v>
      </c>
      <c r="R19" s="1" t="s">
        <v>208</v>
      </c>
      <c r="S19" s="1" t="s">
        <v>209</v>
      </c>
      <c r="T19" s="1" t="s">
        <v>28</v>
      </c>
      <c r="U19" s="1" t="s">
        <v>2273</v>
      </c>
      <c r="V19" s="1" t="s">
        <v>28</v>
      </c>
      <c r="W19" s="1" t="s">
        <v>28</v>
      </c>
      <c r="X19" s="1" t="s">
        <v>28</v>
      </c>
      <c r="Z19" s="1" t="s">
        <v>4060</v>
      </c>
      <c r="AA19" s="1" t="s">
        <v>28</v>
      </c>
      <c r="AB19" s="1" t="s">
        <v>28</v>
      </c>
      <c r="AC19" s="1" t="s">
        <v>2242</v>
      </c>
      <c r="AD19" s="1" t="s">
        <v>34</v>
      </c>
      <c r="AE19" s="1" t="s">
        <v>35</v>
      </c>
      <c r="AF19" s="1" t="s">
        <v>4223</v>
      </c>
      <c r="AG19" s="1" t="s">
        <v>36</v>
      </c>
      <c r="AH19" s="1" t="s">
        <v>210</v>
      </c>
    </row>
    <row r="20" spans="1:34" ht="43.5" x14ac:dyDescent="0.35">
      <c r="A20" s="1">
        <v>3</v>
      </c>
      <c r="B20" s="1" t="s">
        <v>2149</v>
      </c>
      <c r="C20" s="1" t="s">
        <v>287</v>
      </c>
      <c r="D20" s="1" t="s">
        <v>288</v>
      </c>
      <c r="E20" s="4" t="s">
        <v>289</v>
      </c>
      <c r="F20">
        <v>2020</v>
      </c>
      <c r="G20" s="1" t="s">
        <v>290</v>
      </c>
      <c r="H20" s="1" t="s">
        <v>28</v>
      </c>
      <c r="I20" s="1" t="s">
        <v>28</v>
      </c>
      <c r="J20" s="1" t="s">
        <v>291</v>
      </c>
      <c r="K20">
        <v>891</v>
      </c>
      <c r="L20">
        <v>896</v>
      </c>
      <c r="O20" s="1" t="s">
        <v>292</v>
      </c>
      <c r="P20" s="1" t="s">
        <v>293</v>
      </c>
      <c r="Q20" s="1" t="s">
        <v>294</v>
      </c>
      <c r="R20" s="1" t="s">
        <v>28</v>
      </c>
      <c r="S20" s="1" t="s">
        <v>295</v>
      </c>
      <c r="T20" s="1" t="s">
        <v>28</v>
      </c>
      <c r="U20" s="1" t="s">
        <v>4115</v>
      </c>
      <c r="V20" s="1" t="s">
        <v>4222</v>
      </c>
      <c r="W20" s="1" t="s">
        <v>4221</v>
      </c>
      <c r="X20" s="1" t="s">
        <v>28</v>
      </c>
      <c r="Y20">
        <v>158395</v>
      </c>
      <c r="Z20" s="1" t="s">
        <v>28</v>
      </c>
      <c r="AA20" s="1" t="s">
        <v>4220</v>
      </c>
      <c r="AB20" s="1" t="s">
        <v>28</v>
      </c>
      <c r="AC20" s="1" t="s">
        <v>2242</v>
      </c>
      <c r="AD20" s="1" t="s">
        <v>176</v>
      </c>
      <c r="AE20" s="1" t="s">
        <v>35</v>
      </c>
      <c r="AF20" s="1" t="s">
        <v>3970</v>
      </c>
      <c r="AG20" s="1" t="s">
        <v>36</v>
      </c>
      <c r="AH20" s="1" t="s">
        <v>296</v>
      </c>
    </row>
    <row r="21" spans="1:34" ht="44.5" customHeight="1" x14ac:dyDescent="0.35">
      <c r="A21" s="1">
        <v>4</v>
      </c>
      <c r="B21" s="1" t="s">
        <v>4535</v>
      </c>
      <c r="C21" s="1" t="s">
        <v>245</v>
      </c>
      <c r="D21" s="1" t="s">
        <v>246</v>
      </c>
      <c r="E21" s="4" t="s">
        <v>247</v>
      </c>
      <c r="F21">
        <v>2020</v>
      </c>
      <c r="G21" s="1" t="s">
        <v>248</v>
      </c>
      <c r="H21" s="1" t="s">
        <v>249</v>
      </c>
      <c r="I21" s="1" t="s">
        <v>28</v>
      </c>
      <c r="J21" s="1" t="s">
        <v>250</v>
      </c>
      <c r="N21">
        <v>9</v>
      </c>
      <c r="O21" s="1" t="s">
        <v>251</v>
      </c>
      <c r="P21" s="1" t="s">
        <v>252</v>
      </c>
      <c r="Q21" s="1" t="s">
        <v>253</v>
      </c>
      <c r="R21" s="1" t="s">
        <v>254</v>
      </c>
      <c r="S21" s="1" t="s">
        <v>255</v>
      </c>
      <c r="T21" s="1" t="s">
        <v>28</v>
      </c>
      <c r="U21" s="1" t="s">
        <v>4176</v>
      </c>
      <c r="V21" s="1" t="s">
        <v>28</v>
      </c>
      <c r="W21" s="1" t="s">
        <v>28</v>
      </c>
      <c r="X21" s="1" t="s">
        <v>28</v>
      </c>
      <c r="Z21" s="1" t="s">
        <v>4230</v>
      </c>
      <c r="AA21" s="1" t="s">
        <v>28</v>
      </c>
      <c r="AB21" s="1" t="s">
        <v>4229</v>
      </c>
      <c r="AC21" s="1" t="s">
        <v>2242</v>
      </c>
      <c r="AD21" s="1" t="s">
        <v>34</v>
      </c>
      <c r="AE21" s="1" t="s">
        <v>35</v>
      </c>
      <c r="AF21" s="1" t="s">
        <v>3970</v>
      </c>
      <c r="AG21" s="1" t="s">
        <v>36</v>
      </c>
      <c r="AH21" s="1" t="s">
        <v>256</v>
      </c>
    </row>
    <row r="22" spans="1:34" ht="43.5" x14ac:dyDescent="0.35">
      <c r="A22" s="1">
        <v>5</v>
      </c>
      <c r="B22" s="1" t="s">
        <v>4540</v>
      </c>
      <c r="C22" s="1" t="s">
        <v>188</v>
      </c>
      <c r="D22" s="1" t="s">
        <v>189</v>
      </c>
      <c r="E22" s="4" t="s">
        <v>190</v>
      </c>
      <c r="F22">
        <v>2020</v>
      </c>
      <c r="G22" s="1" t="s">
        <v>191</v>
      </c>
      <c r="H22" s="1" t="s">
        <v>28</v>
      </c>
      <c r="I22" s="1" t="s">
        <v>28</v>
      </c>
      <c r="J22" s="1" t="s">
        <v>192</v>
      </c>
      <c r="K22">
        <v>153</v>
      </c>
      <c r="L22">
        <v>158</v>
      </c>
      <c r="O22" s="1" t="s">
        <v>193</v>
      </c>
      <c r="P22" s="1" t="s">
        <v>194</v>
      </c>
      <c r="Q22" s="1" t="s">
        <v>195</v>
      </c>
      <c r="R22" s="1" t="s">
        <v>196</v>
      </c>
      <c r="S22" s="1" t="s">
        <v>197</v>
      </c>
      <c r="T22" s="1" t="s">
        <v>28</v>
      </c>
      <c r="U22" s="1" t="s">
        <v>4115</v>
      </c>
      <c r="V22" s="1" t="s">
        <v>4236</v>
      </c>
      <c r="W22" s="1" t="s">
        <v>4235</v>
      </c>
      <c r="X22" s="1" t="s">
        <v>28</v>
      </c>
      <c r="Y22">
        <v>165870</v>
      </c>
      <c r="Z22" s="1" t="s">
        <v>28</v>
      </c>
      <c r="AA22" s="1" t="s">
        <v>4234</v>
      </c>
      <c r="AB22" s="1" t="s">
        <v>28</v>
      </c>
      <c r="AC22" s="1" t="s">
        <v>2242</v>
      </c>
      <c r="AD22" s="1" t="s">
        <v>176</v>
      </c>
      <c r="AE22" s="1" t="s">
        <v>35</v>
      </c>
      <c r="AF22" s="1" t="s">
        <v>3970</v>
      </c>
      <c r="AG22" s="1" t="s">
        <v>36</v>
      </c>
      <c r="AH22" s="1" t="s">
        <v>198</v>
      </c>
    </row>
    <row r="23" spans="1:34" ht="58" x14ac:dyDescent="0.35">
      <c r="A23" s="1">
        <v>3</v>
      </c>
      <c r="B23" s="1" t="s">
        <v>2149</v>
      </c>
      <c r="C23" s="1" t="s">
        <v>257</v>
      </c>
      <c r="D23" s="1" t="s">
        <v>258</v>
      </c>
      <c r="E23" s="4" t="s">
        <v>259</v>
      </c>
      <c r="F23">
        <v>2020</v>
      </c>
      <c r="G23" s="1" t="s">
        <v>260</v>
      </c>
      <c r="H23" s="1" t="s">
        <v>261</v>
      </c>
      <c r="I23" s="1" t="s">
        <v>28</v>
      </c>
      <c r="J23" s="1" t="s">
        <v>262</v>
      </c>
      <c r="N23">
        <v>4</v>
      </c>
      <c r="O23" s="1" t="s">
        <v>263</v>
      </c>
      <c r="P23" s="1" t="s">
        <v>264</v>
      </c>
      <c r="Q23" s="1" t="s">
        <v>265</v>
      </c>
      <c r="R23" s="1" t="s">
        <v>266</v>
      </c>
      <c r="S23" s="1" t="s">
        <v>28</v>
      </c>
      <c r="T23" s="1" t="s">
        <v>28</v>
      </c>
      <c r="U23" s="1" t="s">
        <v>4098</v>
      </c>
      <c r="V23" s="1" t="s">
        <v>28</v>
      </c>
      <c r="W23" s="1" t="s">
        <v>28</v>
      </c>
      <c r="X23" s="1" t="s">
        <v>28</v>
      </c>
      <c r="Z23" s="1" t="s">
        <v>4228</v>
      </c>
      <c r="AA23" s="1" t="s">
        <v>28</v>
      </c>
      <c r="AB23" s="1" t="s">
        <v>28</v>
      </c>
      <c r="AC23" s="1" t="s">
        <v>2242</v>
      </c>
      <c r="AD23" s="1" t="s">
        <v>34</v>
      </c>
      <c r="AE23" s="1" t="s">
        <v>35</v>
      </c>
      <c r="AF23" s="1" t="s">
        <v>3970</v>
      </c>
      <c r="AG23" s="1" t="s">
        <v>36</v>
      </c>
      <c r="AH23" s="1" t="s">
        <v>267</v>
      </c>
    </row>
    <row r="24" spans="1:34" ht="58" x14ac:dyDescent="0.35">
      <c r="A24" s="1">
        <v>3</v>
      </c>
      <c r="B24" s="1" t="s">
        <v>2149</v>
      </c>
      <c r="C24" s="1" t="s">
        <v>178</v>
      </c>
      <c r="D24" s="1" t="s">
        <v>179</v>
      </c>
      <c r="E24" s="4" t="s">
        <v>180</v>
      </c>
      <c r="F24">
        <v>2020</v>
      </c>
      <c r="G24" s="1" t="s">
        <v>181</v>
      </c>
      <c r="H24" s="1" t="s">
        <v>28</v>
      </c>
      <c r="I24" s="1" t="s">
        <v>28</v>
      </c>
      <c r="J24" s="1" t="s">
        <v>28</v>
      </c>
      <c r="K24">
        <v>170</v>
      </c>
      <c r="L24">
        <v>179</v>
      </c>
      <c r="N24">
        <v>11</v>
      </c>
      <c r="O24" s="1" t="s">
        <v>182</v>
      </c>
      <c r="P24" s="1" t="s">
        <v>183</v>
      </c>
      <c r="Q24" s="1" t="s">
        <v>184</v>
      </c>
      <c r="R24" s="1" t="s">
        <v>185</v>
      </c>
      <c r="S24" s="1" t="s">
        <v>186</v>
      </c>
      <c r="T24" s="1" t="s">
        <v>4241</v>
      </c>
      <c r="U24" s="1" t="s">
        <v>4240</v>
      </c>
      <c r="V24" s="1" t="s">
        <v>4239</v>
      </c>
      <c r="W24" s="1" t="s">
        <v>4238</v>
      </c>
      <c r="X24" s="1" t="s">
        <v>28</v>
      </c>
      <c r="Y24">
        <v>165107</v>
      </c>
      <c r="Z24" s="1" t="s">
        <v>28</v>
      </c>
      <c r="AA24" s="1" t="s">
        <v>4237</v>
      </c>
      <c r="AB24" s="1" t="s">
        <v>28</v>
      </c>
      <c r="AC24" s="1" t="s">
        <v>2242</v>
      </c>
      <c r="AD24" s="1" t="s">
        <v>176</v>
      </c>
      <c r="AE24" s="1" t="s">
        <v>35</v>
      </c>
      <c r="AF24" s="1" t="s">
        <v>28</v>
      </c>
      <c r="AG24" s="1" t="s">
        <v>36</v>
      </c>
      <c r="AH24" s="1" t="s">
        <v>187</v>
      </c>
    </row>
    <row r="25" spans="1:34" ht="58" x14ac:dyDescent="0.35">
      <c r="A25" s="1">
        <v>0</v>
      </c>
      <c r="B25" s="1" t="s">
        <v>4532</v>
      </c>
      <c r="C25" s="1" t="s">
        <v>518</v>
      </c>
      <c r="D25" s="1" t="s">
        <v>519</v>
      </c>
      <c r="E25" s="4" t="s">
        <v>520</v>
      </c>
      <c r="F25">
        <v>2017</v>
      </c>
      <c r="G25" s="1" t="s">
        <v>521</v>
      </c>
      <c r="H25" s="1" t="s">
        <v>522</v>
      </c>
      <c r="I25" s="1" t="s">
        <v>28</v>
      </c>
      <c r="J25" s="1" t="s">
        <v>28</v>
      </c>
      <c r="K25">
        <v>51</v>
      </c>
      <c r="L25">
        <v>72</v>
      </c>
      <c r="N25">
        <v>33</v>
      </c>
      <c r="O25" s="1" t="s">
        <v>523</v>
      </c>
      <c r="P25" s="1" t="s">
        <v>524</v>
      </c>
      <c r="Q25" s="1" t="s">
        <v>525</v>
      </c>
      <c r="R25" s="1" t="s">
        <v>526</v>
      </c>
      <c r="S25" s="1" t="s">
        <v>527</v>
      </c>
      <c r="T25" s="1" t="s">
        <v>28</v>
      </c>
      <c r="U25" s="1" t="s">
        <v>4176</v>
      </c>
      <c r="V25" s="1" t="s">
        <v>28</v>
      </c>
      <c r="W25" s="1" t="s">
        <v>28</v>
      </c>
      <c r="X25" s="1" t="s">
        <v>28</v>
      </c>
      <c r="Z25" s="1" t="s">
        <v>4175</v>
      </c>
      <c r="AA25" s="1" t="s">
        <v>28</v>
      </c>
      <c r="AB25" s="1" t="s">
        <v>28</v>
      </c>
      <c r="AC25" s="1" t="s">
        <v>2242</v>
      </c>
      <c r="AD25" s="1" t="s">
        <v>34</v>
      </c>
      <c r="AE25" s="1" t="s">
        <v>35</v>
      </c>
      <c r="AF25" s="1" t="s">
        <v>28</v>
      </c>
      <c r="AG25" s="1" t="s">
        <v>36</v>
      </c>
      <c r="AH25" s="1" t="s">
        <v>528</v>
      </c>
    </row>
    <row r="26" spans="1:34" ht="58" x14ac:dyDescent="0.35">
      <c r="A26" s="1">
        <v>3</v>
      </c>
      <c r="B26" s="1" t="s">
        <v>2149</v>
      </c>
      <c r="C26" s="1" t="s">
        <v>223</v>
      </c>
      <c r="D26" s="1" t="s">
        <v>224</v>
      </c>
      <c r="E26" s="4" t="s">
        <v>225</v>
      </c>
      <c r="F26">
        <v>2020</v>
      </c>
      <c r="G26" s="1" t="s">
        <v>226</v>
      </c>
      <c r="H26" s="1" t="s">
        <v>227</v>
      </c>
      <c r="I26" s="1" t="s">
        <v>113</v>
      </c>
      <c r="J26" s="1" t="s">
        <v>28</v>
      </c>
      <c r="K26">
        <v>52</v>
      </c>
      <c r="L26">
        <v>79</v>
      </c>
      <c r="N26">
        <v>5</v>
      </c>
      <c r="O26" s="1" t="s">
        <v>228</v>
      </c>
      <c r="P26" s="1" t="s">
        <v>229</v>
      </c>
      <c r="Q26" s="1" t="s">
        <v>230</v>
      </c>
      <c r="R26" s="1" t="s">
        <v>231</v>
      </c>
      <c r="S26" s="1" t="s">
        <v>232</v>
      </c>
      <c r="T26" s="1" t="s">
        <v>28</v>
      </c>
      <c r="U26" s="1" t="s">
        <v>4119</v>
      </c>
      <c r="V26" s="1" t="s">
        <v>28</v>
      </c>
      <c r="W26" s="1" t="s">
        <v>28</v>
      </c>
      <c r="X26" s="1" t="s">
        <v>28</v>
      </c>
      <c r="Z26" s="1" t="s">
        <v>4231</v>
      </c>
      <c r="AA26" s="1" t="s">
        <v>28</v>
      </c>
      <c r="AB26" s="1" t="s">
        <v>28</v>
      </c>
      <c r="AC26" s="1" t="s">
        <v>2242</v>
      </c>
      <c r="AD26" s="1" t="s">
        <v>34</v>
      </c>
      <c r="AE26" s="1" t="s">
        <v>35</v>
      </c>
      <c r="AF26" s="1" t="s">
        <v>28</v>
      </c>
      <c r="AG26" s="1" t="s">
        <v>36</v>
      </c>
      <c r="AH26" s="1" t="s">
        <v>233</v>
      </c>
    </row>
    <row r="27" spans="1:34" ht="58" x14ac:dyDescent="0.35">
      <c r="A27" s="1">
        <v>3</v>
      </c>
      <c r="B27" s="1" t="s">
        <v>2149</v>
      </c>
      <c r="C27" s="1" t="s">
        <v>211</v>
      </c>
      <c r="D27" s="1" t="s">
        <v>212</v>
      </c>
      <c r="E27" s="4" t="s">
        <v>213</v>
      </c>
      <c r="F27">
        <v>2020</v>
      </c>
      <c r="G27" s="1" t="s">
        <v>214</v>
      </c>
      <c r="H27" s="1" t="s">
        <v>215</v>
      </c>
      <c r="I27" s="1" t="s">
        <v>77</v>
      </c>
      <c r="J27" s="1" t="s">
        <v>216</v>
      </c>
      <c r="N27">
        <v>9</v>
      </c>
      <c r="O27" s="1" t="s">
        <v>217</v>
      </c>
      <c r="P27" s="1" t="s">
        <v>218</v>
      </c>
      <c r="Q27" s="1" t="s">
        <v>219</v>
      </c>
      <c r="R27" s="1" t="s">
        <v>220</v>
      </c>
      <c r="S27" s="1" t="s">
        <v>221</v>
      </c>
      <c r="T27" s="1" t="s">
        <v>28</v>
      </c>
      <c r="U27" s="1" t="s">
        <v>4067</v>
      </c>
      <c r="V27" s="1" t="s">
        <v>28</v>
      </c>
      <c r="W27" s="1" t="s">
        <v>28</v>
      </c>
      <c r="X27" s="1" t="s">
        <v>28</v>
      </c>
      <c r="Z27" s="1" t="s">
        <v>4233</v>
      </c>
      <c r="AA27" s="1" t="s">
        <v>28</v>
      </c>
      <c r="AB27" s="1" t="s">
        <v>4232</v>
      </c>
      <c r="AC27" s="1" t="s">
        <v>2242</v>
      </c>
      <c r="AD27" s="1" t="s">
        <v>34</v>
      </c>
      <c r="AE27" s="1" t="s">
        <v>35</v>
      </c>
      <c r="AF27" s="1" t="s">
        <v>28</v>
      </c>
      <c r="AG27" s="1" t="s">
        <v>36</v>
      </c>
      <c r="AH27" s="1" t="s">
        <v>222</v>
      </c>
    </row>
    <row r="28" spans="1:34" ht="43.5" x14ac:dyDescent="0.35">
      <c r="A28" s="1">
        <v>3</v>
      </c>
      <c r="B28" s="1" t="s">
        <v>2149</v>
      </c>
      <c r="C28" s="1" t="s">
        <v>234</v>
      </c>
      <c r="D28" s="1" t="s">
        <v>235</v>
      </c>
      <c r="E28" s="4" t="s">
        <v>236</v>
      </c>
      <c r="F28">
        <v>2020</v>
      </c>
      <c r="G28" s="1" t="s">
        <v>40</v>
      </c>
      <c r="H28" s="1" t="s">
        <v>237</v>
      </c>
      <c r="I28" s="1" t="s">
        <v>28</v>
      </c>
      <c r="J28" s="1" t="s">
        <v>238</v>
      </c>
      <c r="N28">
        <v>31</v>
      </c>
      <c r="O28" s="1" t="s">
        <v>239</v>
      </c>
      <c r="P28" s="1" t="s">
        <v>240</v>
      </c>
      <c r="Q28" s="1" t="s">
        <v>241</v>
      </c>
      <c r="R28" s="1" t="s">
        <v>242</v>
      </c>
      <c r="S28" s="1" t="s">
        <v>243</v>
      </c>
      <c r="T28" s="1" t="s">
        <v>28</v>
      </c>
      <c r="U28" s="1" t="s">
        <v>4098</v>
      </c>
      <c r="V28" s="1" t="s">
        <v>28</v>
      </c>
      <c r="W28" s="1" t="s">
        <v>28</v>
      </c>
      <c r="X28" s="1" t="s">
        <v>28</v>
      </c>
      <c r="Z28" s="1" t="s">
        <v>4162</v>
      </c>
      <c r="AA28" s="1" t="s">
        <v>28</v>
      </c>
      <c r="AB28" s="1" t="s">
        <v>4161</v>
      </c>
      <c r="AC28" s="1" t="s">
        <v>2242</v>
      </c>
      <c r="AD28" s="1" t="s">
        <v>34</v>
      </c>
      <c r="AE28" s="1" t="s">
        <v>35</v>
      </c>
      <c r="AF28" s="1" t="s">
        <v>3970</v>
      </c>
      <c r="AG28" s="1" t="s">
        <v>36</v>
      </c>
      <c r="AH28" s="1" t="s">
        <v>244</v>
      </c>
    </row>
    <row r="29" spans="1:34" ht="43.5" x14ac:dyDescent="0.35">
      <c r="A29" s="1">
        <v>2</v>
      </c>
      <c r="B29" s="1" t="s">
        <v>1259</v>
      </c>
      <c r="C29" s="1" t="s">
        <v>268</v>
      </c>
      <c r="D29" s="1" t="s">
        <v>269</v>
      </c>
      <c r="E29" s="4" t="s">
        <v>341</v>
      </c>
      <c r="F29">
        <v>2019</v>
      </c>
      <c r="G29" s="1" t="s">
        <v>341</v>
      </c>
      <c r="H29" s="1" t="s">
        <v>28</v>
      </c>
      <c r="I29" s="1" t="s">
        <v>28</v>
      </c>
      <c r="J29" s="1" t="s">
        <v>28</v>
      </c>
      <c r="M29">
        <v>300</v>
      </c>
      <c r="O29" s="1" t="s">
        <v>28</v>
      </c>
      <c r="P29" s="1" t="s">
        <v>342</v>
      </c>
      <c r="Q29" s="1" t="s">
        <v>343</v>
      </c>
      <c r="R29" s="1" t="s">
        <v>28</v>
      </c>
      <c r="S29" s="1" t="s">
        <v>28</v>
      </c>
      <c r="T29" s="1" t="s">
        <v>28</v>
      </c>
      <c r="U29" s="1" t="s">
        <v>4115</v>
      </c>
      <c r="V29" s="1" t="s">
        <v>341</v>
      </c>
      <c r="W29" s="1" t="s">
        <v>4209</v>
      </c>
      <c r="X29" s="1" t="s">
        <v>28</v>
      </c>
      <c r="Y29">
        <v>161413</v>
      </c>
      <c r="Z29" s="1" t="s">
        <v>28</v>
      </c>
      <c r="AA29" s="1" t="s">
        <v>4208</v>
      </c>
      <c r="AB29" s="1" t="s">
        <v>28</v>
      </c>
      <c r="AC29" s="1" t="s">
        <v>2242</v>
      </c>
      <c r="AD29" s="1" t="s">
        <v>275</v>
      </c>
      <c r="AE29" s="1" t="s">
        <v>35</v>
      </c>
      <c r="AF29" s="1" t="s">
        <v>28</v>
      </c>
      <c r="AG29" s="1" t="s">
        <v>36</v>
      </c>
      <c r="AH29" s="1" t="s">
        <v>344</v>
      </c>
    </row>
    <row r="30" spans="1:34" ht="58" x14ac:dyDescent="0.35">
      <c r="A30" s="1">
        <v>3</v>
      </c>
      <c r="B30" s="1" t="s">
        <v>2149</v>
      </c>
      <c r="C30" s="1" t="s">
        <v>418</v>
      </c>
      <c r="D30" s="1" t="s">
        <v>419</v>
      </c>
      <c r="E30" s="4" t="s">
        <v>420</v>
      </c>
      <c r="F30">
        <v>2019</v>
      </c>
      <c r="G30" s="1" t="s">
        <v>421</v>
      </c>
      <c r="H30" s="1" t="s">
        <v>125</v>
      </c>
      <c r="I30" s="1" t="s">
        <v>28</v>
      </c>
      <c r="J30" s="1" t="s">
        <v>28</v>
      </c>
      <c r="K30">
        <v>2238</v>
      </c>
      <c r="L30">
        <v>2245</v>
      </c>
      <c r="O30" s="1" t="s">
        <v>28</v>
      </c>
      <c r="P30" s="1" t="s">
        <v>422</v>
      </c>
      <c r="Q30" s="1" t="s">
        <v>423</v>
      </c>
      <c r="R30" s="1" t="s">
        <v>28</v>
      </c>
      <c r="S30" s="1" t="s">
        <v>424</v>
      </c>
      <c r="T30" s="1" t="s">
        <v>28</v>
      </c>
      <c r="U30" s="1" t="s">
        <v>4151</v>
      </c>
      <c r="V30" s="1" t="s">
        <v>4192</v>
      </c>
      <c r="W30" s="1" t="s">
        <v>4191</v>
      </c>
      <c r="X30" s="1" t="s">
        <v>28</v>
      </c>
      <c r="Y30">
        <v>169231</v>
      </c>
      <c r="Z30" s="1" t="s">
        <v>4148</v>
      </c>
      <c r="AA30" s="1" t="s">
        <v>4190</v>
      </c>
      <c r="AB30" s="1" t="s">
        <v>28</v>
      </c>
      <c r="AC30" s="1" t="s">
        <v>2242</v>
      </c>
      <c r="AD30" s="1" t="s">
        <v>176</v>
      </c>
      <c r="AE30" s="1" t="s">
        <v>35</v>
      </c>
      <c r="AF30" s="1" t="s">
        <v>28</v>
      </c>
      <c r="AG30" s="1" t="s">
        <v>36</v>
      </c>
      <c r="AH30" s="1" t="s">
        <v>425</v>
      </c>
    </row>
    <row r="31" spans="1:34" ht="58" x14ac:dyDescent="0.35">
      <c r="A31" s="1">
        <v>2</v>
      </c>
      <c r="B31" s="1" t="s">
        <v>1259</v>
      </c>
      <c r="C31" s="1" t="s">
        <v>268</v>
      </c>
      <c r="D31" s="1" t="s">
        <v>269</v>
      </c>
      <c r="E31" s="4" t="s">
        <v>388</v>
      </c>
      <c r="F31">
        <v>2019</v>
      </c>
      <c r="G31" s="1" t="s">
        <v>389</v>
      </c>
      <c r="H31" s="1" t="s">
        <v>390</v>
      </c>
      <c r="I31" s="1" t="s">
        <v>28</v>
      </c>
      <c r="J31" s="1" t="s">
        <v>391</v>
      </c>
      <c r="K31">
        <v>1229</v>
      </c>
      <c r="L31">
        <v>1234</v>
      </c>
      <c r="N31">
        <v>2</v>
      </c>
      <c r="O31" s="1" t="s">
        <v>392</v>
      </c>
      <c r="P31" s="1" t="s">
        <v>393</v>
      </c>
      <c r="Q31" s="1" t="s">
        <v>394</v>
      </c>
      <c r="R31" s="1" t="s">
        <v>395</v>
      </c>
      <c r="S31" s="1" t="s">
        <v>396</v>
      </c>
      <c r="T31" s="1" t="s">
        <v>4202</v>
      </c>
      <c r="U31" s="1" t="s">
        <v>4115</v>
      </c>
      <c r="V31" s="1" t="s">
        <v>4201</v>
      </c>
      <c r="W31" s="1" t="s">
        <v>4200</v>
      </c>
      <c r="X31" s="1" t="s">
        <v>28</v>
      </c>
      <c r="Y31">
        <v>145614</v>
      </c>
      <c r="Z31" s="1" t="s">
        <v>4199</v>
      </c>
      <c r="AA31" s="1" t="s">
        <v>4198</v>
      </c>
      <c r="AB31" s="1" t="s">
        <v>4197</v>
      </c>
      <c r="AC31" s="1" t="s">
        <v>2242</v>
      </c>
      <c r="AD31" s="1" t="s">
        <v>176</v>
      </c>
      <c r="AE31" s="1" t="s">
        <v>35</v>
      </c>
      <c r="AF31" s="1" t="s">
        <v>28</v>
      </c>
      <c r="AG31" s="1" t="s">
        <v>36</v>
      </c>
      <c r="AH31" s="1" t="s">
        <v>397</v>
      </c>
    </row>
    <row r="32" spans="1:34" ht="58" x14ac:dyDescent="0.35">
      <c r="A32" s="1">
        <v>3</v>
      </c>
      <c r="B32" s="1" t="s">
        <v>2149</v>
      </c>
      <c r="C32" s="1" t="s">
        <v>345</v>
      </c>
      <c r="D32" s="1" t="s">
        <v>4207</v>
      </c>
      <c r="E32" s="4" t="s">
        <v>346</v>
      </c>
      <c r="F32">
        <v>2019</v>
      </c>
      <c r="G32" s="1" t="s">
        <v>347</v>
      </c>
      <c r="H32" s="1" t="s">
        <v>348</v>
      </c>
      <c r="I32" s="1" t="s">
        <v>113</v>
      </c>
      <c r="J32" s="1" t="s">
        <v>28</v>
      </c>
      <c r="K32">
        <v>381</v>
      </c>
      <c r="L32">
        <v>396</v>
      </c>
      <c r="N32">
        <v>5</v>
      </c>
      <c r="O32" s="1" t="s">
        <v>349</v>
      </c>
      <c r="P32" s="1" t="s">
        <v>350</v>
      </c>
      <c r="Q32" s="1" t="s">
        <v>351</v>
      </c>
      <c r="R32" s="1" t="s">
        <v>352</v>
      </c>
      <c r="S32" s="1" t="s">
        <v>28</v>
      </c>
      <c r="T32" s="1" t="s">
        <v>28</v>
      </c>
      <c r="U32" s="1" t="s">
        <v>4165</v>
      </c>
      <c r="V32" s="1" t="s">
        <v>28</v>
      </c>
      <c r="W32" s="1" t="s">
        <v>28</v>
      </c>
      <c r="X32" s="1" t="s">
        <v>28</v>
      </c>
      <c r="Z32" s="1" t="s">
        <v>4206</v>
      </c>
      <c r="AA32" s="1" t="s">
        <v>28</v>
      </c>
      <c r="AB32" s="1" t="s">
        <v>28</v>
      </c>
      <c r="AC32" s="1" t="s">
        <v>2242</v>
      </c>
      <c r="AD32" s="1" t="s">
        <v>353</v>
      </c>
      <c r="AE32" s="1" t="s">
        <v>35</v>
      </c>
      <c r="AF32" s="1" t="s">
        <v>4018</v>
      </c>
      <c r="AG32" s="1" t="s">
        <v>36</v>
      </c>
      <c r="AH32" s="1" t="s">
        <v>354</v>
      </c>
    </row>
    <row r="33" spans="1:34" ht="43.5" x14ac:dyDescent="0.35">
      <c r="A33" s="1">
        <v>3</v>
      </c>
      <c r="B33" s="1" t="s">
        <v>2149</v>
      </c>
      <c r="C33" s="1" t="s">
        <v>318</v>
      </c>
      <c r="D33" s="1" t="s">
        <v>319</v>
      </c>
      <c r="E33" s="4" t="s">
        <v>320</v>
      </c>
      <c r="F33">
        <v>2019</v>
      </c>
      <c r="G33" s="1" t="s">
        <v>321</v>
      </c>
      <c r="H33" s="1" t="s">
        <v>322</v>
      </c>
      <c r="I33" s="1" t="s">
        <v>28</v>
      </c>
      <c r="J33" s="1" t="s">
        <v>323</v>
      </c>
      <c r="N33">
        <v>7</v>
      </c>
      <c r="O33" s="1" t="s">
        <v>324</v>
      </c>
      <c r="P33" s="1" t="s">
        <v>325</v>
      </c>
      <c r="Q33" s="1" t="s">
        <v>326</v>
      </c>
      <c r="R33" s="1" t="s">
        <v>327</v>
      </c>
      <c r="S33" s="1" t="s">
        <v>328</v>
      </c>
      <c r="T33" s="1" t="s">
        <v>28</v>
      </c>
      <c r="U33" s="1" t="s">
        <v>4216</v>
      </c>
      <c r="V33" s="1" t="s">
        <v>4215</v>
      </c>
      <c r="W33" s="1" t="s">
        <v>4214</v>
      </c>
      <c r="X33" s="1" t="s">
        <v>28</v>
      </c>
      <c r="Y33">
        <v>157221</v>
      </c>
      <c r="Z33" s="1" t="s">
        <v>4045</v>
      </c>
      <c r="AA33" s="1" t="s">
        <v>4213</v>
      </c>
      <c r="AB33" s="1" t="s">
        <v>28</v>
      </c>
      <c r="AC33" s="1" t="s">
        <v>2242</v>
      </c>
      <c r="AD33" s="1" t="s">
        <v>176</v>
      </c>
      <c r="AE33" s="1" t="s">
        <v>35</v>
      </c>
      <c r="AF33" s="1" t="s">
        <v>3970</v>
      </c>
      <c r="AG33" s="1" t="s">
        <v>36</v>
      </c>
      <c r="AH33" s="1" t="s">
        <v>329</v>
      </c>
    </row>
    <row r="34" spans="1:34" ht="72.5" x14ac:dyDescent="0.35">
      <c r="A34" s="1">
        <v>4</v>
      </c>
      <c r="B34" s="1" t="s">
        <v>4535</v>
      </c>
      <c r="C34" s="1" t="s">
        <v>355</v>
      </c>
      <c r="D34" s="1" t="s">
        <v>356</v>
      </c>
      <c r="E34" s="4" t="s">
        <v>357</v>
      </c>
      <c r="F34">
        <v>2019</v>
      </c>
      <c r="G34" s="1" t="s">
        <v>358</v>
      </c>
      <c r="H34" s="1" t="s">
        <v>359</v>
      </c>
      <c r="I34" s="1" t="s">
        <v>28</v>
      </c>
      <c r="J34" s="1" t="s">
        <v>360</v>
      </c>
      <c r="N34">
        <v>20</v>
      </c>
      <c r="O34" s="1" t="s">
        <v>361</v>
      </c>
      <c r="P34" s="1" t="s">
        <v>362</v>
      </c>
      <c r="Q34" s="1" t="s">
        <v>363</v>
      </c>
      <c r="R34" s="1" t="s">
        <v>364</v>
      </c>
      <c r="S34" s="1" t="s">
        <v>365</v>
      </c>
      <c r="T34" s="1" t="s">
        <v>28</v>
      </c>
      <c r="U34" s="1" t="s">
        <v>4098</v>
      </c>
      <c r="V34" s="1" t="s">
        <v>28</v>
      </c>
      <c r="W34" s="1" t="s">
        <v>28</v>
      </c>
      <c r="X34" s="1" t="s">
        <v>28</v>
      </c>
      <c r="Z34" s="1" t="s">
        <v>4144</v>
      </c>
      <c r="AA34" s="1" t="s">
        <v>28</v>
      </c>
      <c r="AB34" s="1" t="s">
        <v>28</v>
      </c>
      <c r="AC34" s="1" t="s">
        <v>2242</v>
      </c>
      <c r="AD34" s="1" t="s">
        <v>34</v>
      </c>
      <c r="AE34" s="1" t="s">
        <v>35</v>
      </c>
      <c r="AF34" s="1" t="s">
        <v>28</v>
      </c>
      <c r="AG34" s="1" t="s">
        <v>36</v>
      </c>
      <c r="AH34" s="1" t="s">
        <v>366</v>
      </c>
    </row>
    <row r="35" spans="1:34" ht="58" x14ac:dyDescent="0.35">
      <c r="A35" s="1">
        <v>8</v>
      </c>
      <c r="B35" s="1" t="s">
        <v>2193</v>
      </c>
      <c r="C35" s="1" t="s">
        <v>297</v>
      </c>
      <c r="D35" s="1" t="s">
        <v>298</v>
      </c>
      <c r="E35" s="4" t="s">
        <v>299</v>
      </c>
      <c r="F35">
        <v>2019</v>
      </c>
      <c r="G35" s="1" t="s">
        <v>300</v>
      </c>
      <c r="H35" s="1" t="s">
        <v>301</v>
      </c>
      <c r="I35" s="1" t="s">
        <v>28</v>
      </c>
      <c r="J35" s="1" t="s">
        <v>302</v>
      </c>
      <c r="K35">
        <v>866</v>
      </c>
      <c r="L35">
        <v>877</v>
      </c>
      <c r="N35">
        <v>6</v>
      </c>
      <c r="O35" s="1" t="s">
        <v>303</v>
      </c>
      <c r="P35" s="1" t="s">
        <v>304</v>
      </c>
      <c r="Q35" s="1" t="s">
        <v>305</v>
      </c>
      <c r="R35" s="1" t="s">
        <v>28</v>
      </c>
      <c r="S35" s="1" t="s">
        <v>306</v>
      </c>
      <c r="T35" s="1" t="s">
        <v>28</v>
      </c>
      <c r="U35" s="1" t="s">
        <v>4115</v>
      </c>
      <c r="V35" s="1" t="s">
        <v>4219</v>
      </c>
      <c r="W35" s="1" t="s">
        <v>4218</v>
      </c>
      <c r="X35" s="1" t="s">
        <v>28</v>
      </c>
      <c r="Y35">
        <v>157944</v>
      </c>
      <c r="Z35" s="1" t="s">
        <v>4112</v>
      </c>
      <c r="AA35" s="1" t="s">
        <v>4217</v>
      </c>
      <c r="AB35" s="1" t="s">
        <v>4110</v>
      </c>
      <c r="AC35" s="1" t="s">
        <v>2242</v>
      </c>
      <c r="AD35" s="1" t="s">
        <v>176</v>
      </c>
      <c r="AE35" s="1" t="s">
        <v>35</v>
      </c>
      <c r="AF35" s="1" t="s">
        <v>28</v>
      </c>
      <c r="AG35" s="1" t="s">
        <v>36</v>
      </c>
      <c r="AH35" s="1" t="s">
        <v>307</v>
      </c>
    </row>
    <row r="36" spans="1:34" ht="58" x14ac:dyDescent="0.35">
      <c r="A36" s="1">
        <v>3</v>
      </c>
      <c r="B36" s="1" t="s">
        <v>2149</v>
      </c>
      <c r="C36" s="1" t="s">
        <v>398</v>
      </c>
      <c r="D36" s="1" t="s">
        <v>399</v>
      </c>
      <c r="E36" s="4" t="s">
        <v>400</v>
      </c>
      <c r="F36">
        <v>2019</v>
      </c>
      <c r="G36" s="1" t="s">
        <v>202</v>
      </c>
      <c r="H36" s="1" t="s">
        <v>77</v>
      </c>
      <c r="I36" s="1" t="s">
        <v>65</v>
      </c>
      <c r="J36" s="1" t="s">
        <v>401</v>
      </c>
      <c r="N36">
        <v>7</v>
      </c>
      <c r="O36" s="1" t="s">
        <v>402</v>
      </c>
      <c r="P36" s="1" t="s">
        <v>403</v>
      </c>
      <c r="Q36" s="1" t="s">
        <v>404</v>
      </c>
      <c r="R36" s="1" t="s">
        <v>405</v>
      </c>
      <c r="S36" s="1" t="s">
        <v>406</v>
      </c>
      <c r="T36" s="1" t="s">
        <v>28</v>
      </c>
      <c r="U36" s="1" t="s">
        <v>2273</v>
      </c>
      <c r="V36" s="1" t="s">
        <v>28</v>
      </c>
      <c r="W36" s="1" t="s">
        <v>28</v>
      </c>
      <c r="X36" s="1" t="s">
        <v>28</v>
      </c>
      <c r="Z36" s="1" t="s">
        <v>4060</v>
      </c>
      <c r="AA36" s="1" t="s">
        <v>28</v>
      </c>
      <c r="AB36" s="1" t="s">
        <v>28</v>
      </c>
      <c r="AC36" s="1" t="s">
        <v>2242</v>
      </c>
      <c r="AD36" s="1" t="s">
        <v>34</v>
      </c>
      <c r="AE36" s="1" t="s">
        <v>35</v>
      </c>
      <c r="AF36" s="1" t="s">
        <v>4059</v>
      </c>
      <c r="AG36" s="1" t="s">
        <v>36</v>
      </c>
      <c r="AH36" s="1" t="s">
        <v>407</v>
      </c>
    </row>
    <row r="37" spans="1:34" ht="29" x14ac:dyDescent="0.35">
      <c r="A37" s="1">
        <v>0</v>
      </c>
      <c r="B37" s="1" t="s">
        <v>4532</v>
      </c>
      <c r="C37" s="1" t="s">
        <v>1209</v>
      </c>
      <c r="D37" s="1" t="s">
        <v>1210</v>
      </c>
      <c r="E37" s="4" t="s">
        <v>1211</v>
      </c>
      <c r="F37">
        <v>2005</v>
      </c>
      <c r="G37" s="1" t="s">
        <v>271</v>
      </c>
      <c r="H37" s="1" t="s">
        <v>1212</v>
      </c>
      <c r="I37" s="1" t="s">
        <v>28</v>
      </c>
      <c r="J37" s="1" t="s">
        <v>28</v>
      </c>
      <c r="K37">
        <v>130</v>
      </c>
      <c r="L37">
        <v>144</v>
      </c>
      <c r="N37">
        <v>194</v>
      </c>
      <c r="O37" s="1" t="s">
        <v>1213</v>
      </c>
      <c r="P37" s="1" t="s">
        <v>1214</v>
      </c>
      <c r="Q37" s="1" t="s">
        <v>1215</v>
      </c>
      <c r="R37" s="1" t="s">
        <v>28</v>
      </c>
      <c r="S37" s="1" t="s">
        <v>1216</v>
      </c>
      <c r="T37" s="1" t="s">
        <v>28</v>
      </c>
      <c r="U37" s="1" t="s">
        <v>3979</v>
      </c>
      <c r="V37" s="1" t="s">
        <v>3978</v>
      </c>
      <c r="W37" s="1" t="s">
        <v>3977</v>
      </c>
      <c r="X37" s="1" t="s">
        <v>2115</v>
      </c>
      <c r="Y37">
        <v>67047</v>
      </c>
      <c r="Z37" s="1" t="s">
        <v>3976</v>
      </c>
      <c r="AA37" s="1" t="s">
        <v>3975</v>
      </c>
      <c r="AB37" s="1" t="s">
        <v>28</v>
      </c>
      <c r="AC37" s="1" t="s">
        <v>2242</v>
      </c>
      <c r="AD37" s="1" t="s">
        <v>176</v>
      </c>
      <c r="AE37" s="1" t="s">
        <v>35</v>
      </c>
      <c r="AF37" s="1" t="s">
        <v>28</v>
      </c>
      <c r="AG37" s="1" t="s">
        <v>36</v>
      </c>
      <c r="AH37" s="1" t="s">
        <v>1217</v>
      </c>
    </row>
    <row r="38" spans="1:34" ht="72.5" x14ac:dyDescent="0.35">
      <c r="A38" s="1">
        <v>0</v>
      </c>
      <c r="B38" s="1" t="s">
        <v>4532</v>
      </c>
      <c r="C38" s="1" t="s">
        <v>548</v>
      </c>
      <c r="D38" s="1" t="s">
        <v>549</v>
      </c>
      <c r="E38" s="4" t="s">
        <v>550</v>
      </c>
      <c r="F38">
        <v>2017</v>
      </c>
      <c r="G38" s="1" t="s">
        <v>88</v>
      </c>
      <c r="H38" s="1" t="s">
        <v>551</v>
      </c>
      <c r="I38" s="1" t="s">
        <v>112</v>
      </c>
      <c r="J38" s="1" t="s">
        <v>552</v>
      </c>
      <c r="N38">
        <v>18</v>
      </c>
      <c r="O38" s="1" t="s">
        <v>553</v>
      </c>
      <c r="P38" s="1" t="s">
        <v>554</v>
      </c>
      <c r="Q38" s="1" t="s">
        <v>555</v>
      </c>
      <c r="R38" s="1" t="s">
        <v>28</v>
      </c>
      <c r="S38" s="1" t="s">
        <v>556</v>
      </c>
      <c r="T38" s="1" t="s">
        <v>28</v>
      </c>
      <c r="U38" s="1" t="s">
        <v>4067</v>
      </c>
      <c r="V38" s="1" t="s">
        <v>28</v>
      </c>
      <c r="W38" s="1" t="s">
        <v>28</v>
      </c>
      <c r="X38" s="1" t="s">
        <v>28</v>
      </c>
      <c r="Z38" s="1" t="s">
        <v>4069</v>
      </c>
      <c r="AA38" s="1" t="s">
        <v>28</v>
      </c>
      <c r="AB38" s="1" t="s">
        <v>28</v>
      </c>
      <c r="AC38" s="1" t="s">
        <v>2242</v>
      </c>
      <c r="AD38" s="1" t="s">
        <v>34</v>
      </c>
      <c r="AE38" s="1" t="s">
        <v>35</v>
      </c>
      <c r="AF38" s="1" t="s">
        <v>28</v>
      </c>
      <c r="AG38" s="1" t="s">
        <v>36</v>
      </c>
      <c r="AH38" s="1" t="s">
        <v>557</v>
      </c>
    </row>
    <row r="39" spans="1:34" ht="58" x14ac:dyDescent="0.35">
      <c r="A39" s="1">
        <v>3</v>
      </c>
      <c r="B39" s="1" t="s">
        <v>2149</v>
      </c>
      <c r="C39" s="1" t="s">
        <v>330</v>
      </c>
      <c r="D39" s="1" t="s">
        <v>331</v>
      </c>
      <c r="E39" s="4" t="s">
        <v>332</v>
      </c>
      <c r="F39">
        <v>2019</v>
      </c>
      <c r="G39" s="1" t="s">
        <v>333</v>
      </c>
      <c r="H39" s="1" t="s">
        <v>334</v>
      </c>
      <c r="I39" s="1" t="s">
        <v>112</v>
      </c>
      <c r="J39" s="1" t="s">
        <v>28</v>
      </c>
      <c r="K39">
        <v>962</v>
      </c>
      <c r="L39">
        <v>971</v>
      </c>
      <c r="N39">
        <v>3</v>
      </c>
      <c r="O39" s="1" t="s">
        <v>335</v>
      </c>
      <c r="P39" s="1" t="s">
        <v>336</v>
      </c>
      <c r="Q39" s="1" t="s">
        <v>337</v>
      </c>
      <c r="R39" s="1" t="s">
        <v>338</v>
      </c>
      <c r="S39" s="1" t="s">
        <v>339</v>
      </c>
      <c r="T39" s="1" t="s">
        <v>28</v>
      </c>
      <c r="U39" s="1" t="s">
        <v>4212</v>
      </c>
      <c r="V39" s="1" t="s">
        <v>28</v>
      </c>
      <c r="W39" s="1" t="s">
        <v>28</v>
      </c>
      <c r="X39" s="1" t="s">
        <v>28</v>
      </c>
      <c r="Z39" s="1" t="s">
        <v>4211</v>
      </c>
      <c r="AA39" s="1" t="s">
        <v>28</v>
      </c>
      <c r="AB39" s="1" t="s">
        <v>4210</v>
      </c>
      <c r="AC39" s="1" t="s">
        <v>2242</v>
      </c>
      <c r="AD39" s="1" t="s">
        <v>34</v>
      </c>
      <c r="AE39" s="1" t="s">
        <v>35</v>
      </c>
      <c r="AF39" s="1" t="s">
        <v>4018</v>
      </c>
      <c r="AG39" s="1" t="s">
        <v>36</v>
      </c>
      <c r="AH39" s="1" t="s">
        <v>340</v>
      </c>
    </row>
    <row r="40" spans="1:34" ht="43.5" x14ac:dyDescent="0.35">
      <c r="A40" s="1">
        <v>0</v>
      </c>
      <c r="B40" s="1" t="s">
        <v>4532</v>
      </c>
      <c r="C40" s="1" t="s">
        <v>1091</v>
      </c>
      <c r="D40" s="1" t="s">
        <v>1092</v>
      </c>
      <c r="E40" s="4" t="s">
        <v>1093</v>
      </c>
      <c r="F40">
        <v>2008</v>
      </c>
      <c r="G40" s="1" t="s">
        <v>271</v>
      </c>
      <c r="H40" s="1" t="s">
        <v>1094</v>
      </c>
      <c r="I40" s="1" t="s">
        <v>28</v>
      </c>
      <c r="J40" s="1" t="s">
        <v>28</v>
      </c>
      <c r="K40">
        <v>567</v>
      </c>
      <c r="L40">
        <v>574</v>
      </c>
      <c r="N40">
        <v>12</v>
      </c>
      <c r="O40" s="1" t="s">
        <v>1095</v>
      </c>
      <c r="P40" s="1" t="s">
        <v>1096</v>
      </c>
      <c r="Q40" s="1" t="s">
        <v>1097</v>
      </c>
      <c r="R40" s="1" t="s">
        <v>1098</v>
      </c>
      <c r="S40" s="1" t="s">
        <v>1099</v>
      </c>
      <c r="T40" s="1" t="s">
        <v>28</v>
      </c>
      <c r="U40" s="1" t="s">
        <v>28</v>
      </c>
      <c r="V40" s="1" t="s">
        <v>4017</v>
      </c>
      <c r="W40" s="1" t="s">
        <v>4016</v>
      </c>
      <c r="X40" s="1" t="s">
        <v>4015</v>
      </c>
      <c r="Y40">
        <v>77542</v>
      </c>
      <c r="Z40" s="1" t="s">
        <v>3976</v>
      </c>
      <c r="AA40" s="1" t="s">
        <v>4014</v>
      </c>
      <c r="AB40" s="1" t="s">
        <v>28</v>
      </c>
      <c r="AC40" s="1" t="s">
        <v>2242</v>
      </c>
      <c r="AD40" s="1" t="s">
        <v>176</v>
      </c>
      <c r="AE40" s="1" t="s">
        <v>35</v>
      </c>
      <c r="AF40" s="1" t="s">
        <v>28</v>
      </c>
      <c r="AG40" s="1" t="s">
        <v>36</v>
      </c>
      <c r="AH40" s="1" t="s">
        <v>1100</v>
      </c>
    </row>
    <row r="41" spans="1:34" ht="43.5" x14ac:dyDescent="0.35">
      <c r="A41" s="1">
        <v>3</v>
      </c>
      <c r="B41" s="1" t="s">
        <v>2149</v>
      </c>
      <c r="C41" s="1" t="s">
        <v>378</v>
      </c>
      <c r="D41" s="1" t="s">
        <v>379</v>
      </c>
      <c r="E41" s="4" t="s">
        <v>380</v>
      </c>
      <c r="F41">
        <v>2019</v>
      </c>
      <c r="G41" s="1" t="s">
        <v>51</v>
      </c>
      <c r="H41" s="1" t="s">
        <v>381</v>
      </c>
      <c r="I41" s="1" t="s">
        <v>28</v>
      </c>
      <c r="J41" s="1" t="s">
        <v>28</v>
      </c>
      <c r="K41">
        <v>1022</v>
      </c>
      <c r="L41">
        <v>1035</v>
      </c>
      <c r="N41">
        <v>37</v>
      </c>
      <c r="O41" s="1" t="s">
        <v>382</v>
      </c>
      <c r="P41" s="1" t="s">
        <v>383</v>
      </c>
      <c r="Q41" s="1" t="s">
        <v>384</v>
      </c>
      <c r="R41" s="1" t="s">
        <v>385</v>
      </c>
      <c r="S41" s="1" t="s">
        <v>386</v>
      </c>
      <c r="T41" s="1" t="s">
        <v>28</v>
      </c>
      <c r="U41" s="1" t="s">
        <v>4098</v>
      </c>
      <c r="V41" s="1" t="s">
        <v>28</v>
      </c>
      <c r="W41" s="1" t="s">
        <v>28</v>
      </c>
      <c r="X41" s="1" t="s">
        <v>28</v>
      </c>
      <c r="Z41" s="1" t="s">
        <v>4204</v>
      </c>
      <c r="AA41" s="1" t="s">
        <v>28</v>
      </c>
      <c r="AB41" s="1" t="s">
        <v>4203</v>
      </c>
      <c r="AC41" s="1" t="s">
        <v>2242</v>
      </c>
      <c r="AD41" s="1" t="s">
        <v>34</v>
      </c>
      <c r="AE41" s="1" t="s">
        <v>35</v>
      </c>
      <c r="AF41" s="1" t="s">
        <v>28</v>
      </c>
      <c r="AG41" s="1" t="s">
        <v>36</v>
      </c>
      <c r="AH41" s="1" t="s">
        <v>387</v>
      </c>
    </row>
    <row r="42" spans="1:34" ht="43.5" x14ac:dyDescent="0.35">
      <c r="A42" s="1">
        <v>3</v>
      </c>
      <c r="B42" s="1" t="s">
        <v>2149</v>
      </c>
      <c r="C42" s="1" t="s">
        <v>498</v>
      </c>
      <c r="D42" s="1" t="s">
        <v>499</v>
      </c>
      <c r="E42" s="4" t="s">
        <v>500</v>
      </c>
      <c r="F42">
        <v>2018</v>
      </c>
      <c r="G42" s="1" t="s">
        <v>501</v>
      </c>
      <c r="H42" s="1" t="s">
        <v>502</v>
      </c>
      <c r="I42" s="1" t="s">
        <v>28</v>
      </c>
      <c r="J42" s="1" t="s">
        <v>28</v>
      </c>
      <c r="K42">
        <v>1394</v>
      </c>
      <c r="L42">
        <v>1400</v>
      </c>
      <c r="N42">
        <v>13</v>
      </c>
      <c r="O42" s="1" t="s">
        <v>503</v>
      </c>
      <c r="P42" s="1" t="s">
        <v>504</v>
      </c>
      <c r="Q42" s="1" t="s">
        <v>505</v>
      </c>
      <c r="R42" s="1" t="s">
        <v>506</v>
      </c>
      <c r="S42" s="1" t="s">
        <v>507</v>
      </c>
      <c r="T42" s="1" t="s">
        <v>4183</v>
      </c>
      <c r="U42" s="1" t="s">
        <v>4115</v>
      </c>
      <c r="V42" s="1" t="s">
        <v>4182</v>
      </c>
      <c r="W42" s="1" t="s">
        <v>4181</v>
      </c>
      <c r="X42" s="1" t="s">
        <v>28</v>
      </c>
      <c r="Y42">
        <v>133780</v>
      </c>
      <c r="Z42" s="1" t="s">
        <v>28</v>
      </c>
      <c r="AA42" s="1" t="s">
        <v>4180</v>
      </c>
      <c r="AB42" s="1" t="s">
        <v>28</v>
      </c>
      <c r="AC42" s="1" t="s">
        <v>2242</v>
      </c>
      <c r="AD42" s="1" t="s">
        <v>176</v>
      </c>
      <c r="AE42" s="1" t="s">
        <v>35</v>
      </c>
      <c r="AF42" s="1" t="s">
        <v>28</v>
      </c>
      <c r="AG42" s="1" t="s">
        <v>36</v>
      </c>
      <c r="AH42" s="1" t="s">
        <v>508</v>
      </c>
    </row>
    <row r="43" spans="1:34" ht="29" x14ac:dyDescent="0.35">
      <c r="A43" s="1">
        <v>3</v>
      </c>
      <c r="B43" s="1" t="s">
        <v>2149</v>
      </c>
      <c r="C43" s="1" t="s">
        <v>469</v>
      </c>
      <c r="D43" s="1" t="s">
        <v>470</v>
      </c>
      <c r="E43" s="4" t="s">
        <v>471</v>
      </c>
      <c r="F43">
        <v>2018</v>
      </c>
      <c r="G43" s="1" t="s">
        <v>472</v>
      </c>
      <c r="H43" s="1" t="s">
        <v>348</v>
      </c>
      <c r="I43" s="1" t="s">
        <v>113</v>
      </c>
      <c r="J43" s="1" t="s">
        <v>113</v>
      </c>
      <c r="M43">
        <v>26</v>
      </c>
      <c r="N43">
        <v>22</v>
      </c>
      <c r="O43" s="1" t="s">
        <v>473</v>
      </c>
      <c r="P43" s="1" t="s">
        <v>474</v>
      </c>
      <c r="Q43" s="1" t="s">
        <v>475</v>
      </c>
      <c r="R43" s="1" t="s">
        <v>476</v>
      </c>
      <c r="S43" s="1" t="s">
        <v>28</v>
      </c>
      <c r="T43" s="1" t="s">
        <v>28</v>
      </c>
      <c r="U43" s="1" t="s">
        <v>4062</v>
      </c>
      <c r="V43" s="1" t="s">
        <v>28</v>
      </c>
      <c r="W43" s="1" t="s">
        <v>28</v>
      </c>
      <c r="X43" s="1" t="s">
        <v>28</v>
      </c>
      <c r="Z43" s="1" t="s">
        <v>4061</v>
      </c>
      <c r="AA43" s="1" t="s">
        <v>28</v>
      </c>
      <c r="AB43" s="1" t="s">
        <v>28</v>
      </c>
      <c r="AC43" s="1" t="s">
        <v>2242</v>
      </c>
      <c r="AD43" s="1" t="s">
        <v>34</v>
      </c>
      <c r="AE43" s="1" t="s">
        <v>35</v>
      </c>
      <c r="AF43" s="1" t="s">
        <v>4059</v>
      </c>
      <c r="AG43" s="1" t="s">
        <v>36</v>
      </c>
      <c r="AH43" s="1" t="s">
        <v>477</v>
      </c>
    </row>
    <row r="44" spans="1:34" ht="58" x14ac:dyDescent="0.35">
      <c r="A44" s="1">
        <v>4</v>
      </c>
      <c r="B44" s="1" t="s">
        <v>4535</v>
      </c>
      <c r="C44" s="1" t="s">
        <v>426</v>
      </c>
      <c r="D44" s="1" t="s">
        <v>427</v>
      </c>
      <c r="E44" s="4" t="s">
        <v>428</v>
      </c>
      <c r="F44">
        <v>2018</v>
      </c>
      <c r="G44" s="1" t="s">
        <v>429</v>
      </c>
      <c r="H44" s="1" t="s">
        <v>430</v>
      </c>
      <c r="I44" s="1" t="s">
        <v>28</v>
      </c>
      <c r="J44" s="1" t="s">
        <v>28</v>
      </c>
      <c r="K44">
        <v>872</v>
      </c>
      <c r="L44">
        <v>885</v>
      </c>
      <c r="N44">
        <v>13</v>
      </c>
      <c r="O44" s="1" t="s">
        <v>431</v>
      </c>
      <c r="P44" s="1" t="s">
        <v>432</v>
      </c>
      <c r="Q44" s="1" t="s">
        <v>433</v>
      </c>
      <c r="R44" s="1" t="s">
        <v>434</v>
      </c>
      <c r="S44" s="1" t="s">
        <v>435</v>
      </c>
      <c r="T44" s="1" t="s">
        <v>28</v>
      </c>
      <c r="U44" s="1" t="s">
        <v>4176</v>
      </c>
      <c r="V44" s="1" t="s">
        <v>28</v>
      </c>
      <c r="W44" s="1" t="s">
        <v>28</v>
      </c>
      <c r="X44" s="1" t="s">
        <v>28</v>
      </c>
      <c r="Z44" s="1" t="s">
        <v>4189</v>
      </c>
      <c r="AA44" s="1" t="s">
        <v>28</v>
      </c>
      <c r="AB44" s="1" t="s">
        <v>4188</v>
      </c>
      <c r="AC44" s="1" t="s">
        <v>2242</v>
      </c>
      <c r="AD44" s="1" t="s">
        <v>34</v>
      </c>
      <c r="AE44" s="1" t="s">
        <v>35</v>
      </c>
      <c r="AF44" s="1" t="s">
        <v>28</v>
      </c>
      <c r="AG44" s="1" t="s">
        <v>36</v>
      </c>
      <c r="AH44" s="1" t="s">
        <v>436</v>
      </c>
    </row>
    <row r="45" spans="1:34" ht="29" x14ac:dyDescent="0.35">
      <c r="A45" s="1">
        <v>5</v>
      </c>
      <c r="B45" s="1" t="s">
        <v>4540</v>
      </c>
      <c r="C45" s="1" t="s">
        <v>488</v>
      </c>
      <c r="D45" s="1" t="s">
        <v>489</v>
      </c>
      <c r="E45" s="4" t="s">
        <v>490</v>
      </c>
      <c r="F45">
        <v>2018</v>
      </c>
      <c r="G45" s="1" t="s">
        <v>491</v>
      </c>
      <c r="H45" s="1" t="s">
        <v>492</v>
      </c>
      <c r="I45" s="1" t="s">
        <v>125</v>
      </c>
      <c r="J45" s="1" t="s">
        <v>28</v>
      </c>
      <c r="K45">
        <v>1161</v>
      </c>
      <c r="L45">
        <v>1172</v>
      </c>
      <c r="N45">
        <v>2</v>
      </c>
      <c r="O45" s="1" t="s">
        <v>493</v>
      </c>
      <c r="P45" s="1" t="s">
        <v>494</v>
      </c>
      <c r="Q45" s="1" t="s">
        <v>495</v>
      </c>
      <c r="R45" s="1" t="s">
        <v>496</v>
      </c>
      <c r="S45" s="1" t="s">
        <v>28</v>
      </c>
      <c r="T45" s="1" t="s">
        <v>28</v>
      </c>
      <c r="U45" s="1" t="s">
        <v>3979</v>
      </c>
      <c r="V45" s="1" t="s">
        <v>28</v>
      </c>
      <c r="W45" s="1" t="s">
        <v>28</v>
      </c>
      <c r="X45" s="1" t="s">
        <v>28</v>
      </c>
      <c r="Z45" s="1" t="s">
        <v>4185</v>
      </c>
      <c r="AA45" s="1" t="s">
        <v>28</v>
      </c>
      <c r="AB45" s="1" t="s">
        <v>28</v>
      </c>
      <c r="AC45" s="1" t="s">
        <v>2242</v>
      </c>
      <c r="AD45" s="1" t="s">
        <v>34</v>
      </c>
      <c r="AE45" s="1" t="s">
        <v>35</v>
      </c>
      <c r="AF45" s="1" t="s">
        <v>4184</v>
      </c>
      <c r="AG45" s="1" t="s">
        <v>36</v>
      </c>
      <c r="AH45" s="1" t="s">
        <v>497</v>
      </c>
    </row>
    <row r="46" spans="1:34" ht="43.5" x14ac:dyDescent="0.35">
      <c r="A46" s="1">
        <v>4</v>
      </c>
      <c r="B46" s="1" t="s">
        <v>4535</v>
      </c>
      <c r="C46" s="1" t="s">
        <v>458</v>
      </c>
      <c r="D46" s="1" t="s">
        <v>459</v>
      </c>
      <c r="E46" s="4" t="s">
        <v>460</v>
      </c>
      <c r="F46">
        <v>2018</v>
      </c>
      <c r="G46" s="1" t="s">
        <v>461</v>
      </c>
      <c r="H46" s="1" t="s">
        <v>462</v>
      </c>
      <c r="I46" s="1" t="s">
        <v>28</v>
      </c>
      <c r="J46" s="1" t="s">
        <v>28</v>
      </c>
      <c r="K46">
        <v>270</v>
      </c>
      <c r="L46">
        <v>285</v>
      </c>
      <c r="N46">
        <v>20</v>
      </c>
      <c r="O46" s="1" t="s">
        <v>463</v>
      </c>
      <c r="P46" s="1" t="s">
        <v>464</v>
      </c>
      <c r="Q46" s="1" t="s">
        <v>465</v>
      </c>
      <c r="R46" s="1" t="s">
        <v>466</v>
      </c>
      <c r="S46" s="1" t="s">
        <v>467</v>
      </c>
      <c r="T46" s="1" t="s">
        <v>28</v>
      </c>
      <c r="U46" s="1" t="s">
        <v>4098</v>
      </c>
      <c r="V46" s="1" t="s">
        <v>28</v>
      </c>
      <c r="W46" s="1" t="s">
        <v>28</v>
      </c>
      <c r="X46" s="1" t="s">
        <v>28</v>
      </c>
      <c r="Z46" s="1" t="s">
        <v>4012</v>
      </c>
      <c r="AA46" s="1" t="s">
        <v>28</v>
      </c>
      <c r="AB46" s="1" t="s">
        <v>4011</v>
      </c>
      <c r="AC46" s="1" t="s">
        <v>2242</v>
      </c>
      <c r="AD46" s="1" t="s">
        <v>34</v>
      </c>
      <c r="AE46" s="1" t="s">
        <v>35</v>
      </c>
      <c r="AF46" s="1" t="s">
        <v>28</v>
      </c>
      <c r="AG46" s="1" t="s">
        <v>36</v>
      </c>
      <c r="AH46" s="1" t="s">
        <v>468</v>
      </c>
    </row>
    <row r="47" spans="1:34" ht="58" x14ac:dyDescent="0.35">
      <c r="A47" s="1">
        <v>3</v>
      </c>
      <c r="B47" s="1" t="s">
        <v>2149</v>
      </c>
      <c r="C47" s="1" t="s">
        <v>437</v>
      </c>
      <c r="D47" s="1" t="s">
        <v>438</v>
      </c>
      <c r="E47" s="4" t="s">
        <v>439</v>
      </c>
      <c r="F47">
        <v>2018</v>
      </c>
      <c r="G47" s="1" t="s">
        <v>202</v>
      </c>
      <c r="H47" s="1" t="s">
        <v>64</v>
      </c>
      <c r="I47" s="1" t="s">
        <v>440</v>
      </c>
      <c r="J47" s="1" t="s">
        <v>441</v>
      </c>
      <c r="N47">
        <v>6</v>
      </c>
      <c r="O47" s="1" t="s">
        <v>442</v>
      </c>
      <c r="P47" s="1" t="s">
        <v>443</v>
      </c>
      <c r="Q47" s="1" t="s">
        <v>444</v>
      </c>
      <c r="R47" s="1" t="s">
        <v>445</v>
      </c>
      <c r="S47" s="1" t="s">
        <v>446</v>
      </c>
      <c r="T47" s="1" t="s">
        <v>28</v>
      </c>
      <c r="U47" s="1" t="s">
        <v>2273</v>
      </c>
      <c r="V47" s="1" t="s">
        <v>28</v>
      </c>
      <c r="W47" s="1" t="s">
        <v>28</v>
      </c>
      <c r="X47" s="1" t="s">
        <v>28</v>
      </c>
      <c r="Z47" s="1" t="s">
        <v>4060</v>
      </c>
      <c r="AA47" s="1" t="s">
        <v>28</v>
      </c>
      <c r="AB47" s="1" t="s">
        <v>28</v>
      </c>
      <c r="AC47" s="1" t="s">
        <v>2242</v>
      </c>
      <c r="AD47" s="1" t="s">
        <v>34</v>
      </c>
      <c r="AE47" s="1" t="s">
        <v>35</v>
      </c>
      <c r="AF47" s="1" t="s">
        <v>4059</v>
      </c>
      <c r="AG47" s="1" t="s">
        <v>36</v>
      </c>
      <c r="AH47" s="1" t="s">
        <v>447</v>
      </c>
    </row>
    <row r="48" spans="1:34" ht="87" x14ac:dyDescent="0.35">
      <c r="A48" s="1">
        <v>1.5</v>
      </c>
      <c r="B48" s="1" t="s">
        <v>4533</v>
      </c>
      <c r="C48" s="1" t="s">
        <v>478</v>
      </c>
      <c r="D48" s="1" t="s">
        <v>479</v>
      </c>
      <c r="E48" s="4" t="s">
        <v>480</v>
      </c>
      <c r="F48">
        <v>2018</v>
      </c>
      <c r="G48" s="1" t="s">
        <v>481</v>
      </c>
      <c r="H48" s="1" t="s">
        <v>261</v>
      </c>
      <c r="I48" s="1" t="s">
        <v>113</v>
      </c>
      <c r="J48" s="1" t="s">
        <v>28</v>
      </c>
      <c r="K48">
        <v>446</v>
      </c>
      <c r="L48">
        <v>454</v>
      </c>
      <c r="N48">
        <v>4</v>
      </c>
      <c r="O48" s="1" t="s">
        <v>482</v>
      </c>
      <c r="P48" s="1" t="s">
        <v>483</v>
      </c>
      <c r="Q48" s="1" t="s">
        <v>484</v>
      </c>
      <c r="R48" s="1" t="s">
        <v>485</v>
      </c>
      <c r="S48" s="1" t="s">
        <v>486</v>
      </c>
      <c r="T48" s="1" t="s">
        <v>28</v>
      </c>
      <c r="U48" s="1" t="s">
        <v>4125</v>
      </c>
      <c r="V48" s="1" t="s">
        <v>28</v>
      </c>
      <c r="W48" s="1" t="s">
        <v>28</v>
      </c>
      <c r="X48" s="1" t="s">
        <v>28</v>
      </c>
      <c r="Z48" s="1" t="s">
        <v>4187</v>
      </c>
      <c r="AA48" s="1" t="s">
        <v>28</v>
      </c>
      <c r="AB48" s="1" t="s">
        <v>4186</v>
      </c>
      <c r="AC48" s="1" t="s">
        <v>4000</v>
      </c>
      <c r="AD48" s="1" t="s">
        <v>353</v>
      </c>
      <c r="AE48" s="1" t="s">
        <v>35</v>
      </c>
      <c r="AF48" s="1" t="s">
        <v>28</v>
      </c>
      <c r="AG48" s="1" t="s">
        <v>36</v>
      </c>
      <c r="AH48" s="1" t="s">
        <v>487</v>
      </c>
    </row>
    <row r="49" spans="1:34" ht="72.5" x14ac:dyDescent="0.35">
      <c r="A49" s="1">
        <v>3</v>
      </c>
      <c r="B49" s="1" t="s">
        <v>2149</v>
      </c>
      <c r="C49" s="1" t="s">
        <v>448</v>
      </c>
      <c r="D49" s="1" t="s">
        <v>449</v>
      </c>
      <c r="E49" s="4" t="s">
        <v>450</v>
      </c>
      <c r="F49">
        <v>2018</v>
      </c>
      <c r="G49" s="1" t="s">
        <v>202</v>
      </c>
      <c r="H49" s="1" t="s">
        <v>64</v>
      </c>
      <c r="I49" s="1" t="s">
        <v>112</v>
      </c>
      <c r="J49" s="1" t="s">
        <v>451</v>
      </c>
      <c r="N49">
        <v>25</v>
      </c>
      <c r="O49" s="1" t="s">
        <v>452</v>
      </c>
      <c r="P49" s="1" t="s">
        <v>453</v>
      </c>
      <c r="Q49" s="1" t="s">
        <v>454</v>
      </c>
      <c r="R49" s="1" t="s">
        <v>455</v>
      </c>
      <c r="S49" s="1" t="s">
        <v>456</v>
      </c>
      <c r="T49" s="1" t="s">
        <v>28</v>
      </c>
      <c r="U49" s="1" t="s">
        <v>2273</v>
      </c>
      <c r="V49" s="1" t="s">
        <v>28</v>
      </c>
      <c r="W49" s="1" t="s">
        <v>28</v>
      </c>
      <c r="X49" s="1" t="s">
        <v>28</v>
      </c>
      <c r="Z49" s="1" t="s">
        <v>4060</v>
      </c>
      <c r="AA49" s="1" t="s">
        <v>28</v>
      </c>
      <c r="AB49" s="1" t="s">
        <v>28</v>
      </c>
      <c r="AC49" s="1" t="s">
        <v>2242</v>
      </c>
      <c r="AD49" s="1" t="s">
        <v>34</v>
      </c>
      <c r="AE49" s="1" t="s">
        <v>35</v>
      </c>
      <c r="AF49" s="1" t="s">
        <v>4059</v>
      </c>
      <c r="AG49" s="1" t="s">
        <v>36</v>
      </c>
      <c r="AH49" s="1" t="s">
        <v>457</v>
      </c>
    </row>
    <row r="50" spans="1:34" ht="43.5" x14ac:dyDescent="0.35">
      <c r="A50" s="1">
        <v>7</v>
      </c>
      <c r="B50" s="1" t="s">
        <v>4541</v>
      </c>
      <c r="C50" s="1" t="s">
        <v>558</v>
      </c>
      <c r="D50" s="1" t="s">
        <v>559</v>
      </c>
      <c r="E50" s="4" t="s">
        <v>560</v>
      </c>
      <c r="F50">
        <v>2017</v>
      </c>
      <c r="G50" s="1" t="s">
        <v>561</v>
      </c>
      <c r="H50" s="1" t="s">
        <v>562</v>
      </c>
      <c r="I50" s="1" t="s">
        <v>28</v>
      </c>
      <c r="J50" s="1" t="s">
        <v>28</v>
      </c>
      <c r="K50">
        <v>105</v>
      </c>
      <c r="L50">
        <v>110</v>
      </c>
      <c r="N50">
        <v>6</v>
      </c>
      <c r="O50" s="1" t="s">
        <v>563</v>
      </c>
      <c r="P50" s="1" t="s">
        <v>564</v>
      </c>
      <c r="Q50" s="1" t="s">
        <v>565</v>
      </c>
      <c r="R50" s="1" t="s">
        <v>566</v>
      </c>
      <c r="S50" s="1" t="s">
        <v>567</v>
      </c>
      <c r="T50" s="1" t="s">
        <v>28</v>
      </c>
      <c r="U50" s="1" t="s">
        <v>4170</v>
      </c>
      <c r="V50" s="1" t="s">
        <v>4169</v>
      </c>
      <c r="W50" s="1" t="s">
        <v>4168</v>
      </c>
      <c r="X50" s="1" t="s">
        <v>28</v>
      </c>
      <c r="Y50">
        <v>130655</v>
      </c>
      <c r="Z50" s="1" t="s">
        <v>28</v>
      </c>
      <c r="AA50" s="1" t="s">
        <v>4167</v>
      </c>
      <c r="AB50" s="1" t="s">
        <v>28</v>
      </c>
      <c r="AC50" s="1" t="s">
        <v>2242</v>
      </c>
      <c r="AD50" s="1" t="s">
        <v>176</v>
      </c>
      <c r="AE50" s="1" t="s">
        <v>35</v>
      </c>
      <c r="AF50" s="1" t="s">
        <v>28</v>
      </c>
      <c r="AG50" s="1" t="s">
        <v>36</v>
      </c>
      <c r="AH50" s="1" t="s">
        <v>568</v>
      </c>
    </row>
    <row r="51" spans="1:34" ht="43.5" x14ac:dyDescent="0.35">
      <c r="A51" s="1">
        <v>0</v>
      </c>
      <c r="B51" s="1" t="s">
        <v>4532</v>
      </c>
      <c r="C51" s="1" t="s">
        <v>1080</v>
      </c>
      <c r="D51" s="1" t="s">
        <v>1081</v>
      </c>
      <c r="E51" s="4" t="s">
        <v>1082</v>
      </c>
      <c r="F51">
        <v>2009</v>
      </c>
      <c r="G51" s="1" t="s">
        <v>1083</v>
      </c>
      <c r="H51" s="1" t="s">
        <v>1084</v>
      </c>
      <c r="I51" s="1" t="s">
        <v>512</v>
      </c>
      <c r="J51" s="1" t="s">
        <v>1085</v>
      </c>
      <c r="N51">
        <v>113</v>
      </c>
      <c r="O51" s="1" t="s">
        <v>1086</v>
      </c>
      <c r="P51" s="1" t="s">
        <v>1087</v>
      </c>
      <c r="Q51" s="1" t="s">
        <v>1088</v>
      </c>
      <c r="R51" s="1" t="s">
        <v>28</v>
      </c>
      <c r="S51" s="1" t="s">
        <v>1089</v>
      </c>
      <c r="T51" s="1" t="s">
        <v>28</v>
      </c>
      <c r="U51" s="1" t="s">
        <v>28</v>
      </c>
      <c r="V51" s="1" t="s">
        <v>28</v>
      </c>
      <c r="W51" s="1" t="s">
        <v>28</v>
      </c>
      <c r="X51" s="1" t="s">
        <v>28</v>
      </c>
      <c r="Z51" s="1" t="s">
        <v>4020</v>
      </c>
      <c r="AA51" s="1" t="s">
        <v>28</v>
      </c>
      <c r="AB51" s="1" t="s">
        <v>4019</v>
      </c>
      <c r="AC51" s="1" t="s">
        <v>2242</v>
      </c>
      <c r="AD51" s="1" t="s">
        <v>34</v>
      </c>
      <c r="AE51" s="1" t="s">
        <v>35</v>
      </c>
      <c r="AF51" s="1" t="s">
        <v>4018</v>
      </c>
      <c r="AG51" s="1" t="s">
        <v>36</v>
      </c>
      <c r="AH51" s="1" t="s">
        <v>1090</v>
      </c>
    </row>
    <row r="52" spans="1:34" ht="58" x14ac:dyDescent="0.35">
      <c r="A52" s="1">
        <v>0</v>
      </c>
      <c r="B52" s="1" t="s">
        <v>4532</v>
      </c>
      <c r="C52" s="1" t="s">
        <v>727</v>
      </c>
      <c r="D52" s="1" t="s">
        <v>728</v>
      </c>
      <c r="E52" s="4" t="s">
        <v>729</v>
      </c>
      <c r="F52">
        <v>2015</v>
      </c>
      <c r="G52" s="1" t="s">
        <v>88</v>
      </c>
      <c r="H52" s="1" t="s">
        <v>730</v>
      </c>
      <c r="I52" s="1" t="s">
        <v>77</v>
      </c>
      <c r="J52" s="1" t="s">
        <v>731</v>
      </c>
      <c r="N52">
        <v>28</v>
      </c>
      <c r="O52" s="1" t="s">
        <v>732</v>
      </c>
      <c r="P52" s="1" t="s">
        <v>733</v>
      </c>
      <c r="Q52" s="1" t="s">
        <v>734</v>
      </c>
      <c r="R52" s="1" t="s">
        <v>735</v>
      </c>
      <c r="S52" s="1" t="s">
        <v>736</v>
      </c>
      <c r="T52" s="1" t="s">
        <v>28</v>
      </c>
      <c r="U52" s="1" t="s">
        <v>4067</v>
      </c>
      <c r="V52" s="1" t="s">
        <v>28</v>
      </c>
      <c r="W52" s="1" t="s">
        <v>28</v>
      </c>
      <c r="X52" s="1" t="s">
        <v>28</v>
      </c>
      <c r="Z52" s="1" t="s">
        <v>4069</v>
      </c>
      <c r="AA52" s="1" t="s">
        <v>28</v>
      </c>
      <c r="AB52" s="1" t="s">
        <v>28</v>
      </c>
      <c r="AC52" s="1" t="s">
        <v>2242</v>
      </c>
      <c r="AD52" s="1" t="s">
        <v>34</v>
      </c>
      <c r="AE52" s="1" t="s">
        <v>35</v>
      </c>
      <c r="AF52" s="1" t="s">
        <v>28</v>
      </c>
      <c r="AG52" s="1" t="s">
        <v>36</v>
      </c>
      <c r="AH52" s="1" t="s">
        <v>737</v>
      </c>
    </row>
    <row r="53" spans="1:34" ht="43.5" x14ac:dyDescent="0.35">
      <c r="A53" s="1">
        <v>0</v>
      </c>
      <c r="B53" s="1" t="s">
        <v>4532</v>
      </c>
      <c r="C53" s="1" t="s">
        <v>907</v>
      </c>
      <c r="D53" s="1" t="s">
        <v>908</v>
      </c>
      <c r="E53" s="4" t="s">
        <v>909</v>
      </c>
      <c r="F53">
        <v>2013</v>
      </c>
      <c r="G53" s="1" t="s">
        <v>88</v>
      </c>
      <c r="H53" s="1" t="s">
        <v>910</v>
      </c>
      <c r="I53" s="1" t="s">
        <v>512</v>
      </c>
      <c r="J53" s="1" t="s">
        <v>28</v>
      </c>
      <c r="K53">
        <v>554</v>
      </c>
      <c r="L53">
        <v>564</v>
      </c>
      <c r="N53">
        <v>55</v>
      </c>
      <c r="O53" s="1" t="s">
        <v>911</v>
      </c>
      <c r="P53" s="1" t="s">
        <v>912</v>
      </c>
      <c r="Q53" s="1" t="s">
        <v>913</v>
      </c>
      <c r="R53" s="1" t="s">
        <v>914</v>
      </c>
      <c r="S53" s="1" t="s">
        <v>915</v>
      </c>
      <c r="T53" s="1" t="s">
        <v>28</v>
      </c>
      <c r="U53" s="1" t="s">
        <v>28</v>
      </c>
      <c r="V53" s="1" t="s">
        <v>28</v>
      </c>
      <c r="W53" s="1" t="s">
        <v>28</v>
      </c>
      <c r="X53" s="1" t="s">
        <v>28</v>
      </c>
      <c r="Z53" s="1" t="s">
        <v>4069</v>
      </c>
      <c r="AA53" s="1" t="s">
        <v>28</v>
      </c>
      <c r="AB53" s="1" t="s">
        <v>28</v>
      </c>
      <c r="AC53" s="1" t="s">
        <v>2242</v>
      </c>
      <c r="AD53" s="1" t="s">
        <v>34</v>
      </c>
      <c r="AE53" s="1" t="s">
        <v>35</v>
      </c>
      <c r="AF53" s="1" t="s">
        <v>28</v>
      </c>
      <c r="AG53" s="1" t="s">
        <v>36</v>
      </c>
      <c r="AH53" s="1" t="s">
        <v>916</v>
      </c>
    </row>
    <row r="54" spans="1:34" ht="43.5" x14ac:dyDescent="0.35">
      <c r="A54" s="1">
        <v>3</v>
      </c>
      <c r="B54" s="1" t="s">
        <v>2149</v>
      </c>
      <c r="C54" s="1" t="s">
        <v>509</v>
      </c>
      <c r="D54" s="1" t="s">
        <v>4179</v>
      </c>
      <c r="E54" s="4" t="s">
        <v>510</v>
      </c>
      <c r="F54">
        <v>2017</v>
      </c>
      <c r="G54" s="1" t="s">
        <v>511</v>
      </c>
      <c r="H54" s="1" t="s">
        <v>512</v>
      </c>
      <c r="I54" s="1" t="s">
        <v>78</v>
      </c>
      <c r="J54" s="1" t="s">
        <v>440</v>
      </c>
      <c r="N54">
        <v>7</v>
      </c>
      <c r="O54" s="1" t="s">
        <v>513</v>
      </c>
      <c r="P54" s="1" t="s">
        <v>514</v>
      </c>
      <c r="Q54" s="1" t="s">
        <v>515</v>
      </c>
      <c r="R54" s="1" t="s">
        <v>516</v>
      </c>
      <c r="S54" s="1" t="s">
        <v>28</v>
      </c>
      <c r="T54" s="1" t="s">
        <v>28</v>
      </c>
      <c r="U54" s="1" t="s">
        <v>4178</v>
      </c>
      <c r="V54" s="1" t="s">
        <v>28</v>
      </c>
      <c r="W54" s="1" t="s">
        <v>28</v>
      </c>
      <c r="X54" s="1" t="s">
        <v>28</v>
      </c>
      <c r="Z54" s="1" t="s">
        <v>4177</v>
      </c>
      <c r="AA54" s="1" t="s">
        <v>28</v>
      </c>
      <c r="AB54" s="1" t="s">
        <v>28</v>
      </c>
      <c r="AC54" s="1" t="s">
        <v>2242</v>
      </c>
      <c r="AD54" s="1" t="s">
        <v>34</v>
      </c>
      <c r="AE54" s="1" t="s">
        <v>35</v>
      </c>
      <c r="AF54" s="1" t="s">
        <v>4160</v>
      </c>
      <c r="AG54" s="1" t="s">
        <v>36</v>
      </c>
      <c r="AH54" s="1" t="s">
        <v>517</v>
      </c>
    </row>
    <row r="55" spans="1:34" ht="58" x14ac:dyDescent="0.35">
      <c r="A55" s="1">
        <v>6</v>
      </c>
      <c r="B55" s="1" t="s">
        <v>4538</v>
      </c>
      <c r="C55" s="1" t="s">
        <v>538</v>
      </c>
      <c r="D55" s="1" t="s">
        <v>539</v>
      </c>
      <c r="E55" s="4" t="s">
        <v>540</v>
      </c>
      <c r="F55">
        <v>2017</v>
      </c>
      <c r="G55" s="1" t="s">
        <v>541</v>
      </c>
      <c r="H55" s="1" t="s">
        <v>124</v>
      </c>
      <c r="I55" s="1" t="s">
        <v>64</v>
      </c>
      <c r="J55" s="1" t="s">
        <v>28</v>
      </c>
      <c r="K55">
        <v>2005</v>
      </c>
      <c r="L55">
        <v>2022</v>
      </c>
      <c r="N55">
        <v>23</v>
      </c>
      <c r="O55" s="1" t="s">
        <v>542</v>
      </c>
      <c r="P55" s="1" t="s">
        <v>543</v>
      </c>
      <c r="Q55" s="1" t="s">
        <v>544</v>
      </c>
      <c r="R55" s="1" t="s">
        <v>545</v>
      </c>
      <c r="S55" s="1" t="s">
        <v>546</v>
      </c>
      <c r="T55" s="1" t="s">
        <v>28</v>
      </c>
      <c r="U55" s="1" t="s">
        <v>4173</v>
      </c>
      <c r="V55" s="1" t="s">
        <v>28</v>
      </c>
      <c r="W55" s="1" t="s">
        <v>28</v>
      </c>
      <c r="X55" s="1" t="s">
        <v>28</v>
      </c>
      <c r="Z55" s="1" t="s">
        <v>4172</v>
      </c>
      <c r="AA55" s="1" t="s">
        <v>28</v>
      </c>
      <c r="AB55" s="1" t="s">
        <v>4171</v>
      </c>
      <c r="AC55" s="1" t="s">
        <v>2242</v>
      </c>
      <c r="AD55" s="1" t="s">
        <v>34</v>
      </c>
      <c r="AE55" s="1" t="s">
        <v>35</v>
      </c>
      <c r="AF55" s="1" t="s">
        <v>4018</v>
      </c>
      <c r="AG55" s="1" t="s">
        <v>36</v>
      </c>
      <c r="AH55" s="1" t="s">
        <v>547</v>
      </c>
    </row>
    <row r="56" spans="1:34" ht="43.5" x14ac:dyDescent="0.35">
      <c r="A56" s="1">
        <v>3</v>
      </c>
      <c r="B56" s="1" t="s">
        <v>2149</v>
      </c>
      <c r="C56" s="1" t="s">
        <v>569</v>
      </c>
      <c r="D56" s="1" t="s">
        <v>570</v>
      </c>
      <c r="E56" s="4" t="s">
        <v>571</v>
      </c>
      <c r="F56">
        <v>2017</v>
      </c>
      <c r="G56" s="1" t="s">
        <v>572</v>
      </c>
      <c r="H56" s="1" t="s">
        <v>573</v>
      </c>
      <c r="I56" s="1" t="s">
        <v>113</v>
      </c>
      <c r="J56" s="1" t="s">
        <v>28</v>
      </c>
      <c r="K56">
        <v>373</v>
      </c>
      <c r="L56">
        <v>384</v>
      </c>
      <c r="N56">
        <v>2</v>
      </c>
      <c r="O56" s="1" t="s">
        <v>574</v>
      </c>
      <c r="P56" s="1" t="s">
        <v>575</v>
      </c>
      <c r="Q56" s="1" t="s">
        <v>576</v>
      </c>
      <c r="R56" s="1" t="s">
        <v>577</v>
      </c>
      <c r="S56" s="1" t="s">
        <v>578</v>
      </c>
      <c r="T56" s="1" t="s">
        <v>28</v>
      </c>
      <c r="U56" s="1" t="s">
        <v>4008</v>
      </c>
      <c r="V56" s="1" t="s">
        <v>28</v>
      </c>
      <c r="W56" s="1" t="s">
        <v>28</v>
      </c>
      <c r="X56" s="1" t="s">
        <v>28</v>
      </c>
      <c r="Z56" s="1" t="s">
        <v>4166</v>
      </c>
      <c r="AA56" s="1" t="s">
        <v>28</v>
      </c>
      <c r="AB56" s="1" t="s">
        <v>28</v>
      </c>
      <c r="AC56" s="1" t="s">
        <v>2242</v>
      </c>
      <c r="AD56" s="1" t="s">
        <v>34</v>
      </c>
      <c r="AE56" s="1" t="s">
        <v>35</v>
      </c>
      <c r="AF56" s="1" t="s">
        <v>28</v>
      </c>
      <c r="AG56" s="1" t="s">
        <v>36</v>
      </c>
      <c r="AH56" s="1" t="s">
        <v>579</v>
      </c>
    </row>
    <row r="57" spans="1:34" ht="58" x14ac:dyDescent="0.35">
      <c r="A57" s="1">
        <v>6</v>
      </c>
      <c r="B57" s="1" t="s">
        <v>4538</v>
      </c>
      <c r="C57" s="1" t="s">
        <v>599</v>
      </c>
      <c r="D57" s="1" t="s">
        <v>600</v>
      </c>
      <c r="E57" s="4" t="s">
        <v>601</v>
      </c>
      <c r="F57">
        <v>2017</v>
      </c>
      <c r="G57" s="1" t="s">
        <v>602</v>
      </c>
      <c r="H57" s="1" t="s">
        <v>28</v>
      </c>
      <c r="I57" s="1" t="s">
        <v>28</v>
      </c>
      <c r="J57" s="1" t="s">
        <v>603</v>
      </c>
      <c r="K57">
        <v>220</v>
      </c>
      <c r="L57">
        <v>227</v>
      </c>
      <c r="N57">
        <v>4</v>
      </c>
      <c r="O57" s="1" t="s">
        <v>604</v>
      </c>
      <c r="P57" s="1" t="s">
        <v>605</v>
      </c>
      <c r="Q57" s="1" t="s">
        <v>606</v>
      </c>
      <c r="R57" s="1" t="s">
        <v>607</v>
      </c>
      <c r="S57" s="1" t="s">
        <v>608</v>
      </c>
      <c r="T57" s="1" t="s">
        <v>4159</v>
      </c>
      <c r="U57" s="1" t="s">
        <v>4115</v>
      </c>
      <c r="V57" s="1" t="s">
        <v>4158</v>
      </c>
      <c r="W57" s="1" t="s">
        <v>4157</v>
      </c>
      <c r="X57" s="1" t="s">
        <v>28</v>
      </c>
      <c r="Y57">
        <v>125906</v>
      </c>
      <c r="Z57" s="1" t="s">
        <v>28</v>
      </c>
      <c r="AA57" s="1" t="s">
        <v>4156</v>
      </c>
      <c r="AB57" s="1" t="s">
        <v>28</v>
      </c>
      <c r="AC57" s="1" t="s">
        <v>2242</v>
      </c>
      <c r="AD57" s="1" t="s">
        <v>176</v>
      </c>
      <c r="AE57" s="1" t="s">
        <v>35</v>
      </c>
      <c r="AF57" s="1" t="s">
        <v>28</v>
      </c>
      <c r="AG57" s="1" t="s">
        <v>36</v>
      </c>
      <c r="AH57" s="1" t="s">
        <v>609</v>
      </c>
    </row>
    <row r="58" spans="1:34" ht="29" x14ac:dyDescent="0.35">
      <c r="A58" s="1">
        <v>0</v>
      </c>
      <c r="B58" s="1" t="s">
        <v>4532</v>
      </c>
      <c r="C58" s="1" t="s">
        <v>952</v>
      </c>
      <c r="D58" s="1" t="s">
        <v>953</v>
      </c>
      <c r="E58" s="4" t="s">
        <v>954</v>
      </c>
      <c r="F58">
        <v>2013</v>
      </c>
      <c r="G58" s="1" t="s">
        <v>866</v>
      </c>
      <c r="H58" s="1" t="s">
        <v>955</v>
      </c>
      <c r="I58" s="1" t="s">
        <v>78</v>
      </c>
      <c r="J58" s="1" t="s">
        <v>28</v>
      </c>
      <c r="K58">
        <v>275</v>
      </c>
      <c r="L58">
        <v>291</v>
      </c>
      <c r="N58">
        <v>28</v>
      </c>
      <c r="O58" s="1" t="s">
        <v>956</v>
      </c>
      <c r="P58" s="1" t="s">
        <v>957</v>
      </c>
      <c r="Q58" s="1" t="s">
        <v>958</v>
      </c>
      <c r="R58" s="1" t="s">
        <v>959</v>
      </c>
      <c r="S58" s="1" t="s">
        <v>960</v>
      </c>
      <c r="T58" s="1" t="s">
        <v>28</v>
      </c>
      <c r="U58" s="1" t="s">
        <v>4058</v>
      </c>
      <c r="V58" s="1" t="s">
        <v>28</v>
      </c>
      <c r="W58" s="1" t="s">
        <v>28</v>
      </c>
      <c r="X58" s="1" t="s">
        <v>28</v>
      </c>
      <c r="Z58" s="1" t="s">
        <v>3997</v>
      </c>
      <c r="AA58" s="1" t="s">
        <v>28</v>
      </c>
      <c r="AB58" s="1" t="s">
        <v>28</v>
      </c>
      <c r="AC58" s="1" t="s">
        <v>2242</v>
      </c>
      <c r="AD58" s="1" t="s">
        <v>34</v>
      </c>
      <c r="AE58" s="1" t="s">
        <v>35</v>
      </c>
      <c r="AF58" s="1" t="s">
        <v>28</v>
      </c>
      <c r="AG58" s="1" t="s">
        <v>36</v>
      </c>
      <c r="AH58" s="1" t="s">
        <v>961</v>
      </c>
    </row>
    <row r="59" spans="1:34" ht="43.5" x14ac:dyDescent="0.35">
      <c r="A59" s="1">
        <v>3</v>
      </c>
      <c r="B59" s="1" t="s">
        <v>2149</v>
      </c>
      <c r="C59" s="1" t="s">
        <v>589</v>
      </c>
      <c r="D59" s="1" t="s">
        <v>590</v>
      </c>
      <c r="E59" s="4" t="s">
        <v>591</v>
      </c>
      <c r="F59">
        <v>2017</v>
      </c>
      <c r="G59" s="1" t="s">
        <v>40</v>
      </c>
      <c r="H59" s="1" t="s">
        <v>592</v>
      </c>
      <c r="I59" s="1" t="s">
        <v>28</v>
      </c>
      <c r="J59" s="1" t="s">
        <v>28</v>
      </c>
      <c r="K59">
        <v>1</v>
      </c>
      <c r="L59">
        <v>13</v>
      </c>
      <c r="N59">
        <v>11</v>
      </c>
      <c r="O59" s="1" t="s">
        <v>593</v>
      </c>
      <c r="P59" s="1" t="s">
        <v>594</v>
      </c>
      <c r="Q59" s="1" t="s">
        <v>595</v>
      </c>
      <c r="R59" s="1" t="s">
        <v>596</v>
      </c>
      <c r="S59" s="1" t="s">
        <v>597</v>
      </c>
      <c r="T59" s="1" t="s">
        <v>28</v>
      </c>
      <c r="U59" s="1" t="s">
        <v>4098</v>
      </c>
      <c r="V59" s="1" t="s">
        <v>28</v>
      </c>
      <c r="W59" s="1" t="s">
        <v>28</v>
      </c>
      <c r="X59" s="1" t="s">
        <v>28</v>
      </c>
      <c r="Z59" s="1" t="s">
        <v>4162</v>
      </c>
      <c r="AA59" s="1" t="s">
        <v>28</v>
      </c>
      <c r="AB59" s="1" t="s">
        <v>4161</v>
      </c>
      <c r="AC59" s="1" t="s">
        <v>2242</v>
      </c>
      <c r="AD59" s="1" t="s">
        <v>34</v>
      </c>
      <c r="AE59" s="1" t="s">
        <v>35</v>
      </c>
      <c r="AF59" s="1" t="s">
        <v>4160</v>
      </c>
      <c r="AG59" s="1" t="s">
        <v>36</v>
      </c>
      <c r="AH59" s="1" t="s">
        <v>598</v>
      </c>
    </row>
    <row r="60" spans="1:34" ht="58" x14ac:dyDescent="0.35">
      <c r="A60" s="1">
        <v>4</v>
      </c>
      <c r="B60" s="1" t="s">
        <v>4535</v>
      </c>
      <c r="C60" s="1" t="s">
        <v>308</v>
      </c>
      <c r="D60" s="1" t="s">
        <v>309</v>
      </c>
      <c r="E60" s="4" t="s">
        <v>580</v>
      </c>
      <c r="F60">
        <v>2017</v>
      </c>
      <c r="G60" s="1" t="s">
        <v>581</v>
      </c>
      <c r="H60" s="1" t="s">
        <v>582</v>
      </c>
      <c r="I60" s="1" t="s">
        <v>65</v>
      </c>
      <c r="J60" s="1" t="s">
        <v>28</v>
      </c>
      <c r="K60">
        <v>552</v>
      </c>
      <c r="L60">
        <v>560</v>
      </c>
      <c r="N60">
        <v>7</v>
      </c>
      <c r="O60" s="1" t="s">
        <v>583</v>
      </c>
      <c r="P60" s="1" t="s">
        <v>584</v>
      </c>
      <c r="Q60" s="1" t="s">
        <v>585</v>
      </c>
      <c r="R60" s="1" t="s">
        <v>586</v>
      </c>
      <c r="S60" s="1" t="s">
        <v>587</v>
      </c>
      <c r="T60" s="1" t="s">
        <v>28</v>
      </c>
      <c r="U60" s="1" t="s">
        <v>4165</v>
      </c>
      <c r="V60" s="1" t="s">
        <v>28</v>
      </c>
      <c r="W60" s="1" t="s">
        <v>28</v>
      </c>
      <c r="X60" s="1" t="s">
        <v>28</v>
      </c>
      <c r="Z60" s="1" t="s">
        <v>4164</v>
      </c>
      <c r="AA60" s="1" t="s">
        <v>28</v>
      </c>
      <c r="AB60" s="1" t="s">
        <v>4163</v>
      </c>
      <c r="AC60" s="1" t="s">
        <v>2242</v>
      </c>
      <c r="AD60" s="1" t="s">
        <v>34</v>
      </c>
      <c r="AE60" s="1" t="s">
        <v>35</v>
      </c>
      <c r="AF60" s="1" t="s">
        <v>28</v>
      </c>
      <c r="AG60" s="1" t="s">
        <v>36</v>
      </c>
      <c r="AH60" s="1" t="s">
        <v>588</v>
      </c>
    </row>
    <row r="61" spans="1:34" ht="43.5" x14ac:dyDescent="0.35">
      <c r="A61" s="1">
        <v>3</v>
      </c>
      <c r="B61" s="1" t="s">
        <v>2149</v>
      </c>
      <c r="C61" s="1" t="s">
        <v>619</v>
      </c>
      <c r="D61" s="1" t="s">
        <v>620</v>
      </c>
      <c r="E61" s="4" t="s">
        <v>621</v>
      </c>
      <c r="F61">
        <v>2017</v>
      </c>
      <c r="G61" s="1" t="s">
        <v>421</v>
      </c>
      <c r="H61" s="1" t="s">
        <v>78</v>
      </c>
      <c r="I61" s="1" t="s">
        <v>28</v>
      </c>
      <c r="J61" s="1" t="s">
        <v>28</v>
      </c>
      <c r="K61">
        <v>359</v>
      </c>
      <c r="L61">
        <v>368</v>
      </c>
      <c r="N61">
        <v>4</v>
      </c>
      <c r="O61" s="1" t="s">
        <v>622</v>
      </c>
      <c r="P61" s="1" t="s">
        <v>623</v>
      </c>
      <c r="Q61" s="1" t="s">
        <v>624</v>
      </c>
      <c r="R61" s="1" t="s">
        <v>28</v>
      </c>
      <c r="S61" s="1" t="s">
        <v>625</v>
      </c>
      <c r="T61" s="1" t="s">
        <v>28</v>
      </c>
      <c r="U61" s="1" t="s">
        <v>4151</v>
      </c>
      <c r="V61" s="1" t="s">
        <v>4150</v>
      </c>
      <c r="W61" s="1" t="s">
        <v>4149</v>
      </c>
      <c r="X61" s="1" t="s">
        <v>28</v>
      </c>
      <c r="Y61">
        <v>169210</v>
      </c>
      <c r="Z61" s="1" t="s">
        <v>4148</v>
      </c>
      <c r="AA61" s="1" t="s">
        <v>4147</v>
      </c>
      <c r="AB61" s="1" t="s">
        <v>28</v>
      </c>
      <c r="AC61" s="1" t="s">
        <v>2242</v>
      </c>
      <c r="AD61" s="1" t="s">
        <v>176</v>
      </c>
      <c r="AE61" s="1" t="s">
        <v>35</v>
      </c>
      <c r="AF61" s="1" t="s">
        <v>28</v>
      </c>
      <c r="AG61" s="1" t="s">
        <v>36</v>
      </c>
      <c r="AH61" s="1" t="s">
        <v>626</v>
      </c>
    </row>
    <row r="62" spans="1:34" ht="29" x14ac:dyDescent="0.35">
      <c r="A62" s="1">
        <v>3</v>
      </c>
      <c r="B62" s="1" t="s">
        <v>2149</v>
      </c>
      <c r="C62" s="1" t="s">
        <v>627</v>
      </c>
      <c r="D62" s="1" t="s">
        <v>628</v>
      </c>
      <c r="E62" s="4" t="s">
        <v>629</v>
      </c>
      <c r="F62">
        <v>2017</v>
      </c>
      <c r="G62" s="1" t="s">
        <v>630</v>
      </c>
      <c r="H62" s="1" t="s">
        <v>65</v>
      </c>
      <c r="I62" s="1" t="s">
        <v>125</v>
      </c>
      <c r="J62" s="1" t="s">
        <v>28</v>
      </c>
      <c r="K62">
        <v>115</v>
      </c>
      <c r="L62">
        <v>132</v>
      </c>
      <c r="N62">
        <v>8</v>
      </c>
      <c r="O62" s="1" t="s">
        <v>631</v>
      </c>
      <c r="P62" s="1" t="s">
        <v>632</v>
      </c>
      <c r="Q62" s="1" t="s">
        <v>633</v>
      </c>
      <c r="R62" s="1" t="s">
        <v>634</v>
      </c>
      <c r="S62" s="1" t="s">
        <v>28</v>
      </c>
      <c r="T62" s="1" t="s">
        <v>28</v>
      </c>
      <c r="U62" s="1" t="s">
        <v>4146</v>
      </c>
      <c r="V62" s="1" t="s">
        <v>28</v>
      </c>
      <c r="W62" s="1" t="s">
        <v>28</v>
      </c>
      <c r="X62" s="1" t="s">
        <v>28</v>
      </c>
      <c r="Z62" s="1" t="s">
        <v>4145</v>
      </c>
      <c r="AA62" s="1" t="s">
        <v>28</v>
      </c>
      <c r="AB62" s="1" t="s">
        <v>28</v>
      </c>
      <c r="AC62" s="1" t="s">
        <v>2242</v>
      </c>
      <c r="AD62" s="1" t="s">
        <v>34</v>
      </c>
      <c r="AE62" s="1" t="s">
        <v>35</v>
      </c>
      <c r="AF62" s="1" t="s">
        <v>4059</v>
      </c>
      <c r="AG62" s="1" t="s">
        <v>36</v>
      </c>
      <c r="AH62" s="1" t="s">
        <v>635</v>
      </c>
    </row>
    <row r="63" spans="1:34" ht="43.5" x14ac:dyDescent="0.35">
      <c r="A63" s="1">
        <v>4</v>
      </c>
      <c r="B63" s="1" t="s">
        <v>4535</v>
      </c>
      <c r="C63" s="1" t="s">
        <v>529</v>
      </c>
      <c r="D63" s="1" t="s">
        <v>530</v>
      </c>
      <c r="E63" s="4" t="s">
        <v>531</v>
      </c>
      <c r="F63">
        <v>2017</v>
      </c>
      <c r="G63" s="1" t="s">
        <v>532</v>
      </c>
      <c r="H63" s="1" t="s">
        <v>124</v>
      </c>
      <c r="I63" s="1" t="s">
        <v>64</v>
      </c>
      <c r="J63" s="1" t="s">
        <v>28</v>
      </c>
      <c r="K63">
        <v>3991</v>
      </c>
      <c r="L63">
        <v>4000</v>
      </c>
      <c r="N63">
        <v>2</v>
      </c>
      <c r="O63" s="1" t="s">
        <v>28</v>
      </c>
      <c r="P63" s="1" t="s">
        <v>533</v>
      </c>
      <c r="Q63" s="1" t="s">
        <v>534</v>
      </c>
      <c r="R63" s="1" t="s">
        <v>535</v>
      </c>
      <c r="S63" s="1" t="s">
        <v>536</v>
      </c>
      <c r="T63" s="1" t="s">
        <v>28</v>
      </c>
      <c r="U63" s="1" t="s">
        <v>4174</v>
      </c>
      <c r="V63" s="1" t="s">
        <v>28</v>
      </c>
      <c r="W63" s="1" t="s">
        <v>28</v>
      </c>
      <c r="X63" s="1" t="s">
        <v>28</v>
      </c>
      <c r="Z63" s="1" t="s">
        <v>4002</v>
      </c>
      <c r="AA63" s="1" t="s">
        <v>28</v>
      </c>
      <c r="AB63" s="1" t="s">
        <v>4001</v>
      </c>
      <c r="AC63" s="1" t="s">
        <v>4000</v>
      </c>
      <c r="AD63" s="1" t="s">
        <v>34</v>
      </c>
      <c r="AE63" s="1" t="s">
        <v>35</v>
      </c>
      <c r="AF63" s="1" t="s">
        <v>28</v>
      </c>
      <c r="AG63" s="1" t="s">
        <v>36</v>
      </c>
      <c r="AH63" s="1" t="s">
        <v>537</v>
      </c>
    </row>
    <row r="64" spans="1:34" ht="43.5" x14ac:dyDescent="0.35">
      <c r="A64" s="1">
        <v>3</v>
      </c>
      <c r="B64" s="1" t="s">
        <v>2149</v>
      </c>
      <c r="C64" s="1" t="s">
        <v>654</v>
      </c>
      <c r="D64" s="1" t="s">
        <v>655</v>
      </c>
      <c r="E64" s="4" t="s">
        <v>656</v>
      </c>
      <c r="F64">
        <v>2016</v>
      </c>
      <c r="G64" s="1" t="s">
        <v>657</v>
      </c>
      <c r="H64" s="1" t="s">
        <v>78</v>
      </c>
      <c r="I64" s="1" t="s">
        <v>28</v>
      </c>
      <c r="J64" s="1" t="s">
        <v>28</v>
      </c>
      <c r="K64">
        <v>187</v>
      </c>
      <c r="L64">
        <v>200</v>
      </c>
      <c r="O64" s="1" t="s">
        <v>658</v>
      </c>
      <c r="P64" s="1" t="s">
        <v>659</v>
      </c>
      <c r="Q64" s="1" t="s">
        <v>660</v>
      </c>
      <c r="R64" s="1" t="s">
        <v>661</v>
      </c>
      <c r="S64" s="1" t="s">
        <v>28</v>
      </c>
      <c r="T64" s="1" t="s">
        <v>28</v>
      </c>
      <c r="U64" s="1" t="s">
        <v>4143</v>
      </c>
      <c r="V64" s="1" t="s">
        <v>28</v>
      </c>
      <c r="W64" s="1" t="s">
        <v>28</v>
      </c>
      <c r="X64" s="1" t="s">
        <v>28</v>
      </c>
      <c r="Z64" s="1" t="s">
        <v>4142</v>
      </c>
      <c r="AA64" s="1" t="s">
        <v>28</v>
      </c>
      <c r="AB64" s="1" t="s">
        <v>28</v>
      </c>
      <c r="AC64" s="1" t="s">
        <v>2242</v>
      </c>
      <c r="AD64" s="1" t="s">
        <v>662</v>
      </c>
      <c r="AE64" s="1" t="s">
        <v>35</v>
      </c>
      <c r="AF64" s="1" t="s">
        <v>28</v>
      </c>
      <c r="AG64" s="1" t="s">
        <v>36</v>
      </c>
      <c r="AH64" s="1" t="s">
        <v>663</v>
      </c>
    </row>
    <row r="65" spans="1:34" ht="58" x14ac:dyDescent="0.35">
      <c r="A65" s="1">
        <v>4</v>
      </c>
      <c r="B65" s="1" t="s">
        <v>4535</v>
      </c>
      <c r="C65" s="1" t="s">
        <v>680</v>
      </c>
      <c r="D65" s="1" t="s">
        <v>681</v>
      </c>
      <c r="E65" s="4" t="s">
        <v>682</v>
      </c>
      <c r="F65">
        <v>2016</v>
      </c>
      <c r="G65" s="1" t="s">
        <v>683</v>
      </c>
      <c r="H65" s="1" t="s">
        <v>28</v>
      </c>
      <c r="I65" s="1" t="s">
        <v>28</v>
      </c>
      <c r="J65" s="1" t="s">
        <v>28</v>
      </c>
      <c r="K65">
        <v>141</v>
      </c>
      <c r="L65">
        <v>150</v>
      </c>
      <c r="N65">
        <v>2</v>
      </c>
      <c r="O65" s="1" t="s">
        <v>684</v>
      </c>
      <c r="P65" s="1" t="s">
        <v>685</v>
      </c>
      <c r="Q65" s="1" t="s">
        <v>686</v>
      </c>
      <c r="R65" s="1" t="s">
        <v>28</v>
      </c>
      <c r="S65" s="1" t="s">
        <v>687</v>
      </c>
      <c r="T65" s="1" t="s">
        <v>4095</v>
      </c>
      <c r="U65" s="1" t="s">
        <v>4067</v>
      </c>
      <c r="V65" s="1" t="s">
        <v>4135</v>
      </c>
      <c r="W65" s="1" t="s">
        <v>4134</v>
      </c>
      <c r="X65" s="1" t="s">
        <v>28</v>
      </c>
      <c r="Y65">
        <v>121840</v>
      </c>
      <c r="Z65" s="1" t="s">
        <v>28</v>
      </c>
      <c r="AA65" s="1" t="s">
        <v>4133</v>
      </c>
      <c r="AB65" s="1" t="s">
        <v>28</v>
      </c>
      <c r="AC65" s="1" t="s">
        <v>2242</v>
      </c>
      <c r="AD65" s="1" t="s">
        <v>176</v>
      </c>
      <c r="AE65" s="1" t="s">
        <v>35</v>
      </c>
      <c r="AF65" s="1" t="s">
        <v>28</v>
      </c>
      <c r="AG65" s="1" t="s">
        <v>36</v>
      </c>
      <c r="AH65" s="1" t="s">
        <v>688</v>
      </c>
    </row>
    <row r="66" spans="1:34" ht="43.5" x14ac:dyDescent="0.35">
      <c r="A66" s="1">
        <v>4</v>
      </c>
      <c r="B66" s="1" t="s">
        <v>4535</v>
      </c>
      <c r="C66" s="1" t="s">
        <v>689</v>
      </c>
      <c r="D66" s="1" t="s">
        <v>690</v>
      </c>
      <c r="E66" s="4" t="s">
        <v>691</v>
      </c>
      <c r="F66">
        <v>2016</v>
      </c>
      <c r="G66" s="1" t="s">
        <v>692</v>
      </c>
      <c r="H66" s="1" t="s">
        <v>28</v>
      </c>
      <c r="I66" s="1" t="s">
        <v>28</v>
      </c>
      <c r="J66" s="1" t="s">
        <v>28</v>
      </c>
      <c r="K66">
        <v>1507</v>
      </c>
      <c r="L66">
        <v>1517</v>
      </c>
      <c r="O66" s="1" t="s">
        <v>693</v>
      </c>
      <c r="P66" s="1" t="s">
        <v>694</v>
      </c>
      <c r="Q66" s="1" t="s">
        <v>695</v>
      </c>
      <c r="R66" s="1" t="s">
        <v>28</v>
      </c>
      <c r="S66" s="1" t="s">
        <v>696</v>
      </c>
      <c r="T66" s="1" t="s">
        <v>4132</v>
      </c>
      <c r="U66" s="1" t="s">
        <v>4067</v>
      </c>
      <c r="V66" s="1" t="s">
        <v>4131</v>
      </c>
      <c r="W66" s="1" t="s">
        <v>4130</v>
      </c>
      <c r="X66" s="1" t="s">
        <v>28</v>
      </c>
      <c r="Y66">
        <v>121941</v>
      </c>
      <c r="Z66" s="1" t="s">
        <v>28</v>
      </c>
      <c r="AA66" s="1" t="s">
        <v>4129</v>
      </c>
      <c r="AB66" s="1" t="s">
        <v>28</v>
      </c>
      <c r="AC66" s="1" t="s">
        <v>2242</v>
      </c>
      <c r="AD66" s="1" t="s">
        <v>176</v>
      </c>
      <c r="AE66" s="1" t="s">
        <v>35</v>
      </c>
      <c r="AF66" s="1" t="s">
        <v>28</v>
      </c>
      <c r="AG66" s="1" t="s">
        <v>36</v>
      </c>
      <c r="AH66" s="1" t="s">
        <v>697</v>
      </c>
    </row>
    <row r="67" spans="1:34" ht="29" x14ac:dyDescent="0.35">
      <c r="A67" s="1">
        <v>4</v>
      </c>
      <c r="B67" s="1" t="s">
        <v>4535</v>
      </c>
      <c r="C67" s="1" t="s">
        <v>698</v>
      </c>
      <c r="D67" s="1" t="s">
        <v>699</v>
      </c>
      <c r="E67" s="4" t="s">
        <v>700</v>
      </c>
      <c r="F67">
        <v>2016</v>
      </c>
      <c r="G67" s="1" t="s">
        <v>701</v>
      </c>
      <c r="H67" s="1" t="s">
        <v>28</v>
      </c>
      <c r="I67" s="1" t="s">
        <v>28</v>
      </c>
      <c r="J67" s="1" t="s">
        <v>28</v>
      </c>
      <c r="K67">
        <v>331</v>
      </c>
      <c r="L67">
        <v>337</v>
      </c>
      <c r="O67" s="1" t="s">
        <v>702</v>
      </c>
      <c r="P67" s="1" t="s">
        <v>703</v>
      </c>
      <c r="Q67" s="1" t="s">
        <v>704</v>
      </c>
      <c r="R67" s="1" t="s">
        <v>705</v>
      </c>
      <c r="S67" s="1" t="s">
        <v>706</v>
      </c>
      <c r="T67" s="1" t="s">
        <v>28</v>
      </c>
      <c r="U67" s="1" t="s">
        <v>4128</v>
      </c>
      <c r="V67" s="1" t="s">
        <v>28</v>
      </c>
      <c r="W67" s="1" t="s">
        <v>28</v>
      </c>
      <c r="X67" s="1" t="s">
        <v>28</v>
      </c>
      <c r="Z67" s="1" t="s">
        <v>28</v>
      </c>
      <c r="AA67" s="1" t="s">
        <v>4127</v>
      </c>
      <c r="AB67" s="1" t="s">
        <v>28</v>
      </c>
      <c r="AC67" s="1" t="s">
        <v>2242</v>
      </c>
      <c r="AD67" s="1" t="s">
        <v>662</v>
      </c>
      <c r="AE67" s="1" t="s">
        <v>35</v>
      </c>
      <c r="AF67" s="1" t="s">
        <v>28</v>
      </c>
      <c r="AG67" s="1" t="s">
        <v>36</v>
      </c>
      <c r="AH67" s="1" t="s">
        <v>707</v>
      </c>
    </row>
    <row r="68" spans="1:34" ht="58" x14ac:dyDescent="0.35">
      <c r="A68" s="1">
        <v>0</v>
      </c>
      <c r="B68" s="1" t="s">
        <v>4532</v>
      </c>
      <c r="C68" s="1" t="s">
        <v>60</v>
      </c>
      <c r="D68" s="1" t="s">
        <v>61</v>
      </c>
      <c r="E68" s="4" t="s">
        <v>62</v>
      </c>
      <c r="F68">
        <v>2022</v>
      </c>
      <c r="G68" s="1" t="s">
        <v>63</v>
      </c>
      <c r="H68" s="1" t="s">
        <v>64</v>
      </c>
      <c r="I68" s="1" t="s">
        <v>65</v>
      </c>
      <c r="J68" s="1" t="s">
        <v>66</v>
      </c>
      <c r="O68" s="1" t="s">
        <v>67</v>
      </c>
      <c r="P68" s="1" t="s">
        <v>68</v>
      </c>
      <c r="Q68" s="1" t="s">
        <v>69</v>
      </c>
      <c r="R68" s="1" t="s">
        <v>70</v>
      </c>
      <c r="S68" s="1" t="s">
        <v>71</v>
      </c>
      <c r="T68" s="1" t="s">
        <v>28</v>
      </c>
      <c r="U68" s="1" t="s">
        <v>4269</v>
      </c>
      <c r="V68" s="1" t="s">
        <v>28</v>
      </c>
      <c r="W68" s="1" t="s">
        <v>28</v>
      </c>
      <c r="X68" s="1" t="s">
        <v>28</v>
      </c>
      <c r="Z68" s="1" t="s">
        <v>4277</v>
      </c>
      <c r="AA68" s="1" t="s">
        <v>28</v>
      </c>
      <c r="AB68" s="1" t="s">
        <v>28</v>
      </c>
      <c r="AC68" s="1" t="s">
        <v>2242</v>
      </c>
      <c r="AD68" s="1" t="s">
        <v>34</v>
      </c>
      <c r="AE68" s="1" t="s">
        <v>35</v>
      </c>
      <c r="AF68" s="1" t="s">
        <v>4059</v>
      </c>
      <c r="AG68" s="1" t="s">
        <v>36</v>
      </c>
      <c r="AH68" s="1" t="s">
        <v>72</v>
      </c>
    </row>
    <row r="69" spans="1:34" ht="29" x14ac:dyDescent="0.35">
      <c r="A69" s="1">
        <v>3</v>
      </c>
      <c r="B69" s="1" t="s">
        <v>2149</v>
      </c>
      <c r="C69" s="1" t="s">
        <v>458</v>
      </c>
      <c r="D69" s="1" t="s">
        <v>459</v>
      </c>
      <c r="E69" s="4" t="s">
        <v>664</v>
      </c>
      <c r="F69">
        <v>2016</v>
      </c>
      <c r="G69" s="1" t="s">
        <v>665</v>
      </c>
      <c r="H69" s="1" t="s">
        <v>125</v>
      </c>
      <c r="I69" s="1" t="s">
        <v>28</v>
      </c>
      <c r="J69" s="1" t="s">
        <v>28</v>
      </c>
      <c r="K69">
        <v>1262</v>
      </c>
      <c r="L69">
        <v>1269</v>
      </c>
      <c r="N69">
        <v>1</v>
      </c>
      <c r="O69" s="1" t="s">
        <v>28</v>
      </c>
      <c r="P69" s="1" t="s">
        <v>666</v>
      </c>
      <c r="Q69" s="1" t="s">
        <v>667</v>
      </c>
      <c r="R69" s="1" t="s">
        <v>668</v>
      </c>
      <c r="S69" s="1" t="s">
        <v>669</v>
      </c>
      <c r="T69" s="1" t="s">
        <v>28</v>
      </c>
      <c r="U69" s="1" t="s">
        <v>4141</v>
      </c>
      <c r="V69" s="1" t="s">
        <v>4140</v>
      </c>
      <c r="W69" s="1" t="s">
        <v>4139</v>
      </c>
      <c r="X69" s="1" t="s">
        <v>28</v>
      </c>
      <c r="Y69">
        <v>160655</v>
      </c>
      <c r="Z69" s="1" t="s">
        <v>28</v>
      </c>
      <c r="AA69" s="1" t="s">
        <v>4138</v>
      </c>
      <c r="AB69" s="1" t="s">
        <v>28</v>
      </c>
      <c r="AC69" s="1" t="s">
        <v>2242</v>
      </c>
      <c r="AD69" s="1" t="s">
        <v>176</v>
      </c>
      <c r="AE69" s="1" t="s">
        <v>35</v>
      </c>
      <c r="AF69" s="1" t="s">
        <v>28</v>
      </c>
      <c r="AG69" s="1" t="s">
        <v>36</v>
      </c>
      <c r="AH69" s="1" t="s">
        <v>670</v>
      </c>
    </row>
    <row r="70" spans="1:34" ht="58" x14ac:dyDescent="0.35">
      <c r="A70" s="1">
        <v>4</v>
      </c>
      <c r="B70" s="1" t="s">
        <v>4535</v>
      </c>
      <c r="C70" s="1" t="s">
        <v>671</v>
      </c>
      <c r="D70" s="1" t="s">
        <v>672</v>
      </c>
      <c r="E70" s="4" t="s">
        <v>673</v>
      </c>
      <c r="F70">
        <v>2016</v>
      </c>
      <c r="G70" s="1" t="s">
        <v>674</v>
      </c>
      <c r="H70" s="1" t="s">
        <v>28</v>
      </c>
      <c r="I70" s="1" t="s">
        <v>28</v>
      </c>
      <c r="J70" s="1" t="s">
        <v>28</v>
      </c>
      <c r="K70">
        <v>171</v>
      </c>
      <c r="L70">
        <v>176</v>
      </c>
      <c r="O70" s="1" t="s">
        <v>675</v>
      </c>
      <c r="P70" s="1" t="s">
        <v>676</v>
      </c>
      <c r="Q70" s="1" t="s">
        <v>677</v>
      </c>
      <c r="R70" s="1" t="s">
        <v>28</v>
      </c>
      <c r="S70" s="1" t="s">
        <v>678</v>
      </c>
      <c r="T70" s="1" t="s">
        <v>4095</v>
      </c>
      <c r="U70" s="1" t="s">
        <v>4067</v>
      </c>
      <c r="V70" s="1" t="s">
        <v>4137</v>
      </c>
      <c r="W70" s="1" t="s">
        <v>4134</v>
      </c>
      <c r="X70" s="1" t="s">
        <v>28</v>
      </c>
      <c r="Y70">
        <v>122985</v>
      </c>
      <c r="Z70" s="1" t="s">
        <v>28</v>
      </c>
      <c r="AA70" s="1" t="s">
        <v>4136</v>
      </c>
      <c r="AB70" s="1" t="s">
        <v>28</v>
      </c>
      <c r="AC70" s="1" t="s">
        <v>2242</v>
      </c>
      <c r="AD70" s="1" t="s">
        <v>176</v>
      </c>
      <c r="AE70" s="1" t="s">
        <v>35</v>
      </c>
      <c r="AF70" s="1" t="s">
        <v>28</v>
      </c>
      <c r="AG70" s="1" t="s">
        <v>36</v>
      </c>
      <c r="AH70" s="1" t="s">
        <v>679</v>
      </c>
    </row>
    <row r="71" spans="1:34" ht="43.5" x14ac:dyDescent="0.35">
      <c r="A71" s="1">
        <v>3</v>
      </c>
      <c r="B71" s="1" t="s">
        <v>2149</v>
      </c>
      <c r="C71" s="1" t="s">
        <v>738</v>
      </c>
      <c r="D71" s="1" t="s">
        <v>739</v>
      </c>
      <c r="E71" s="4" t="s">
        <v>740</v>
      </c>
      <c r="F71">
        <v>2015</v>
      </c>
      <c r="G71" s="1" t="s">
        <v>741</v>
      </c>
      <c r="H71" s="1" t="s">
        <v>28</v>
      </c>
      <c r="I71" s="1" t="s">
        <v>28</v>
      </c>
      <c r="J71" s="1" t="s">
        <v>742</v>
      </c>
      <c r="N71">
        <v>13</v>
      </c>
      <c r="O71" s="1" t="s">
        <v>743</v>
      </c>
      <c r="P71" s="1" t="s">
        <v>744</v>
      </c>
      <c r="Q71" s="1" t="s">
        <v>745</v>
      </c>
      <c r="R71" s="1" t="s">
        <v>746</v>
      </c>
      <c r="S71" s="1" t="s">
        <v>747</v>
      </c>
      <c r="T71" s="1" t="s">
        <v>28</v>
      </c>
      <c r="U71" s="1" t="s">
        <v>4115</v>
      </c>
      <c r="V71" s="1" t="s">
        <v>4122</v>
      </c>
      <c r="W71" s="1" t="s">
        <v>4121</v>
      </c>
      <c r="X71" s="1" t="s">
        <v>28</v>
      </c>
      <c r="Y71">
        <v>116722</v>
      </c>
      <c r="Z71" s="1" t="s">
        <v>28</v>
      </c>
      <c r="AA71" s="1" t="s">
        <v>4120</v>
      </c>
      <c r="AB71" s="1" t="s">
        <v>28</v>
      </c>
      <c r="AC71" s="1" t="s">
        <v>2242</v>
      </c>
      <c r="AD71" s="1" t="s">
        <v>176</v>
      </c>
      <c r="AE71" s="1" t="s">
        <v>35</v>
      </c>
      <c r="AF71" s="1" t="s">
        <v>28</v>
      </c>
      <c r="AG71" s="1" t="s">
        <v>36</v>
      </c>
      <c r="AH71" s="1" t="s">
        <v>748</v>
      </c>
    </row>
    <row r="72" spans="1:34" ht="43.5" x14ac:dyDescent="0.35">
      <c r="A72" s="1">
        <v>2</v>
      </c>
      <c r="B72" s="1" t="s">
        <v>1259</v>
      </c>
      <c r="C72" s="1" t="s">
        <v>268</v>
      </c>
      <c r="D72" s="1" t="s">
        <v>269</v>
      </c>
      <c r="E72" s="4" t="s">
        <v>798</v>
      </c>
      <c r="F72">
        <v>2015</v>
      </c>
      <c r="G72" s="1" t="s">
        <v>798</v>
      </c>
      <c r="H72" s="1" t="s">
        <v>28</v>
      </c>
      <c r="I72" s="1" t="s">
        <v>28</v>
      </c>
      <c r="J72" s="1" t="s">
        <v>28</v>
      </c>
      <c r="M72">
        <v>841</v>
      </c>
      <c r="O72" s="1" t="s">
        <v>28</v>
      </c>
      <c r="P72" s="1" t="s">
        <v>799</v>
      </c>
      <c r="Q72" s="1" t="s">
        <v>800</v>
      </c>
      <c r="R72" s="1" t="s">
        <v>28</v>
      </c>
      <c r="S72" s="1" t="s">
        <v>28</v>
      </c>
      <c r="T72" s="1" t="s">
        <v>4106</v>
      </c>
      <c r="U72" s="1" t="s">
        <v>4067</v>
      </c>
      <c r="V72" s="1" t="s">
        <v>4105</v>
      </c>
      <c r="W72" s="1" t="s">
        <v>4104</v>
      </c>
      <c r="X72" s="1" t="s">
        <v>28</v>
      </c>
      <c r="Y72">
        <v>111537</v>
      </c>
      <c r="Z72" s="1" t="s">
        <v>28</v>
      </c>
      <c r="AA72" s="1" t="s">
        <v>4103</v>
      </c>
      <c r="AB72" s="1" t="s">
        <v>28</v>
      </c>
      <c r="AC72" s="1" t="s">
        <v>2242</v>
      </c>
      <c r="AD72" s="1" t="s">
        <v>275</v>
      </c>
      <c r="AE72" s="1" t="s">
        <v>35</v>
      </c>
      <c r="AF72" s="1" t="s">
        <v>28</v>
      </c>
      <c r="AG72" s="1" t="s">
        <v>36</v>
      </c>
      <c r="AH72" s="1" t="s">
        <v>801</v>
      </c>
    </row>
    <row r="73" spans="1:34" ht="43.5" x14ac:dyDescent="0.35">
      <c r="A73" s="1">
        <v>4</v>
      </c>
      <c r="B73" s="1" t="s">
        <v>4535</v>
      </c>
      <c r="C73" s="1" t="s">
        <v>789</v>
      </c>
      <c r="D73" s="1" t="s">
        <v>790</v>
      </c>
      <c r="E73" s="4" t="s">
        <v>791</v>
      </c>
      <c r="F73">
        <v>2015</v>
      </c>
      <c r="G73" s="1" t="s">
        <v>792</v>
      </c>
      <c r="H73" s="1" t="s">
        <v>28</v>
      </c>
      <c r="I73" s="1" t="s">
        <v>28</v>
      </c>
      <c r="J73" s="1" t="s">
        <v>28</v>
      </c>
      <c r="K73">
        <v>2067</v>
      </c>
      <c r="L73">
        <v>2072</v>
      </c>
      <c r="N73">
        <v>2</v>
      </c>
      <c r="O73" s="1" t="s">
        <v>793</v>
      </c>
      <c r="P73" s="1" t="s">
        <v>794</v>
      </c>
      <c r="Q73" s="1" t="s">
        <v>795</v>
      </c>
      <c r="R73" s="1" t="s">
        <v>28</v>
      </c>
      <c r="S73" s="1" t="s">
        <v>796</v>
      </c>
      <c r="T73" s="1" t="s">
        <v>4095</v>
      </c>
      <c r="U73" s="1" t="s">
        <v>4067</v>
      </c>
      <c r="V73" s="1" t="s">
        <v>4109</v>
      </c>
      <c r="W73" s="1" t="s">
        <v>4108</v>
      </c>
      <c r="X73" s="1" t="s">
        <v>28</v>
      </c>
      <c r="Y73">
        <v>112350</v>
      </c>
      <c r="Z73" s="1" t="s">
        <v>28</v>
      </c>
      <c r="AA73" s="1" t="s">
        <v>4107</v>
      </c>
      <c r="AB73" s="1" t="s">
        <v>28</v>
      </c>
      <c r="AC73" s="1" t="s">
        <v>2242</v>
      </c>
      <c r="AD73" s="1" t="s">
        <v>176</v>
      </c>
      <c r="AE73" s="1" t="s">
        <v>35</v>
      </c>
      <c r="AF73" s="1" t="s">
        <v>28</v>
      </c>
      <c r="AG73" s="1" t="s">
        <v>36</v>
      </c>
      <c r="AH73" s="1" t="s">
        <v>797</v>
      </c>
    </row>
    <row r="74" spans="1:34" ht="29" x14ac:dyDescent="0.35">
      <c r="A74" s="1">
        <v>4</v>
      </c>
      <c r="B74" s="1" t="s">
        <v>4535</v>
      </c>
      <c r="C74" s="1" t="s">
        <v>749</v>
      </c>
      <c r="D74" s="1" t="s">
        <v>750</v>
      </c>
      <c r="E74" s="4" t="s">
        <v>751</v>
      </c>
      <c r="F74">
        <v>2015</v>
      </c>
      <c r="G74" s="1" t="s">
        <v>752</v>
      </c>
      <c r="H74" s="1" t="s">
        <v>28</v>
      </c>
      <c r="I74" s="1" t="s">
        <v>28</v>
      </c>
      <c r="J74" s="1" t="s">
        <v>28</v>
      </c>
      <c r="K74">
        <v>149</v>
      </c>
      <c r="L74">
        <v>166</v>
      </c>
      <c r="N74">
        <v>2</v>
      </c>
      <c r="O74" s="1" t="s">
        <v>753</v>
      </c>
      <c r="P74" s="1" t="s">
        <v>754</v>
      </c>
      <c r="Q74" s="1" t="s">
        <v>755</v>
      </c>
      <c r="R74" s="1" t="s">
        <v>28</v>
      </c>
      <c r="S74" s="1" t="s">
        <v>756</v>
      </c>
      <c r="T74" s="1" t="s">
        <v>28</v>
      </c>
      <c r="U74" s="1" t="s">
        <v>4119</v>
      </c>
      <c r="V74" s="1" t="s">
        <v>28</v>
      </c>
      <c r="W74" s="1" t="s">
        <v>28</v>
      </c>
      <c r="X74" s="1" t="s">
        <v>28</v>
      </c>
      <c r="Z74" s="1" t="s">
        <v>28</v>
      </c>
      <c r="AA74" s="1" t="s">
        <v>4118</v>
      </c>
      <c r="AB74" s="1" t="s">
        <v>28</v>
      </c>
      <c r="AC74" s="1" t="s">
        <v>2242</v>
      </c>
      <c r="AD74" s="1" t="s">
        <v>662</v>
      </c>
      <c r="AE74" s="1" t="s">
        <v>35</v>
      </c>
      <c r="AF74" s="1" t="s">
        <v>28</v>
      </c>
      <c r="AG74" s="1" t="s">
        <v>36</v>
      </c>
      <c r="AH74" s="1" t="s">
        <v>757</v>
      </c>
    </row>
    <row r="75" spans="1:34" ht="58" x14ac:dyDescent="0.35">
      <c r="A75" s="1">
        <v>3</v>
      </c>
      <c r="B75" s="1" t="s">
        <v>2149</v>
      </c>
      <c r="C75" s="1" t="s">
        <v>758</v>
      </c>
      <c r="D75" s="1" t="s">
        <v>759</v>
      </c>
      <c r="E75" s="4" t="s">
        <v>760</v>
      </c>
      <c r="F75">
        <v>2015</v>
      </c>
      <c r="G75" s="1" t="s">
        <v>761</v>
      </c>
      <c r="H75" s="1" t="s">
        <v>762</v>
      </c>
      <c r="I75" s="1" t="s">
        <v>28</v>
      </c>
      <c r="J75" s="1" t="s">
        <v>28</v>
      </c>
      <c r="K75">
        <v>95</v>
      </c>
      <c r="L75">
        <v>107</v>
      </c>
      <c r="N75">
        <v>59</v>
      </c>
      <c r="O75" s="1" t="s">
        <v>763</v>
      </c>
      <c r="P75" s="1" t="s">
        <v>764</v>
      </c>
      <c r="Q75" s="1" t="s">
        <v>765</v>
      </c>
      <c r="R75" s="1" t="s">
        <v>766</v>
      </c>
      <c r="S75" s="1" t="s">
        <v>767</v>
      </c>
      <c r="T75" s="1" t="s">
        <v>28</v>
      </c>
      <c r="U75" s="1" t="s">
        <v>4098</v>
      </c>
      <c r="V75" s="1" t="s">
        <v>28</v>
      </c>
      <c r="W75" s="1" t="s">
        <v>28</v>
      </c>
      <c r="X75" s="1" t="s">
        <v>28</v>
      </c>
      <c r="Z75" s="1" t="s">
        <v>4117</v>
      </c>
      <c r="AA75" s="1" t="s">
        <v>28</v>
      </c>
      <c r="AB75" s="1" t="s">
        <v>4116</v>
      </c>
      <c r="AC75" s="1" t="s">
        <v>2242</v>
      </c>
      <c r="AD75" s="1" t="s">
        <v>34</v>
      </c>
      <c r="AE75" s="1" t="s">
        <v>35</v>
      </c>
      <c r="AF75" s="1" t="s">
        <v>28</v>
      </c>
      <c r="AG75" s="1" t="s">
        <v>36</v>
      </c>
      <c r="AH75" s="1" t="s">
        <v>768</v>
      </c>
    </row>
    <row r="76" spans="1:34" ht="58" x14ac:dyDescent="0.35">
      <c r="A76" s="1">
        <v>0</v>
      </c>
      <c r="B76" s="1" t="s">
        <v>4532</v>
      </c>
      <c r="C76" s="1" t="s">
        <v>708</v>
      </c>
      <c r="D76" s="1" t="s">
        <v>709</v>
      </c>
      <c r="E76" s="4" t="s">
        <v>710</v>
      </c>
      <c r="F76">
        <v>2015</v>
      </c>
      <c r="G76" s="1" t="s">
        <v>711</v>
      </c>
      <c r="H76" s="1" t="s">
        <v>113</v>
      </c>
      <c r="I76" s="1" t="s">
        <v>125</v>
      </c>
      <c r="J76" s="1" t="s">
        <v>28</v>
      </c>
      <c r="K76">
        <v>287</v>
      </c>
      <c r="L76">
        <v>308</v>
      </c>
      <c r="N76">
        <v>7</v>
      </c>
      <c r="O76" s="1" t="s">
        <v>712</v>
      </c>
      <c r="P76" s="1" t="s">
        <v>713</v>
      </c>
      <c r="Q76" s="1" t="s">
        <v>714</v>
      </c>
      <c r="R76" s="1" t="s">
        <v>715</v>
      </c>
      <c r="S76" s="1" t="s">
        <v>28</v>
      </c>
      <c r="T76" s="1" t="s">
        <v>28</v>
      </c>
      <c r="U76" s="1" t="s">
        <v>2273</v>
      </c>
      <c r="V76" s="1" t="s">
        <v>28</v>
      </c>
      <c r="W76" s="1" t="s">
        <v>28</v>
      </c>
      <c r="X76" s="1" t="s">
        <v>28</v>
      </c>
      <c r="Z76" s="1" t="s">
        <v>4126</v>
      </c>
      <c r="AA76" s="1" t="s">
        <v>28</v>
      </c>
      <c r="AB76" s="1" t="s">
        <v>28</v>
      </c>
      <c r="AC76" s="1" t="s">
        <v>2242</v>
      </c>
      <c r="AD76" s="1" t="s">
        <v>34</v>
      </c>
      <c r="AE76" s="1" t="s">
        <v>35</v>
      </c>
      <c r="AF76" s="1" t="s">
        <v>4059</v>
      </c>
      <c r="AG76" s="1" t="s">
        <v>36</v>
      </c>
      <c r="AH76" s="1" t="s">
        <v>716</v>
      </c>
    </row>
    <row r="77" spans="1:34" ht="58" x14ac:dyDescent="0.35">
      <c r="A77" s="1">
        <v>0</v>
      </c>
      <c r="B77" s="1" t="s">
        <v>4532</v>
      </c>
      <c r="C77" s="1" t="s">
        <v>779</v>
      </c>
      <c r="D77" s="1" t="s">
        <v>780</v>
      </c>
      <c r="E77" s="4" t="s">
        <v>781</v>
      </c>
      <c r="F77">
        <v>2015</v>
      </c>
      <c r="G77" s="1" t="s">
        <v>202</v>
      </c>
      <c r="H77" s="1" t="s">
        <v>782</v>
      </c>
      <c r="I77" s="1" t="s">
        <v>782</v>
      </c>
      <c r="J77" s="1" t="s">
        <v>28</v>
      </c>
      <c r="K77">
        <v>3643</v>
      </c>
      <c r="L77">
        <v>3670</v>
      </c>
      <c r="N77">
        <v>22</v>
      </c>
      <c r="O77" s="1" t="s">
        <v>783</v>
      </c>
      <c r="P77" s="1" t="s">
        <v>784</v>
      </c>
      <c r="Q77" s="1" t="s">
        <v>785</v>
      </c>
      <c r="R77" s="1" t="s">
        <v>786</v>
      </c>
      <c r="S77" s="1" t="s">
        <v>787</v>
      </c>
      <c r="T77" s="1" t="s">
        <v>28</v>
      </c>
      <c r="U77" s="1" t="s">
        <v>2273</v>
      </c>
      <c r="V77" s="1" t="s">
        <v>28</v>
      </c>
      <c r="W77" s="1" t="s">
        <v>28</v>
      </c>
      <c r="X77" s="1" t="s">
        <v>28</v>
      </c>
      <c r="Z77" s="1" t="s">
        <v>4060</v>
      </c>
      <c r="AA77" s="1" t="s">
        <v>28</v>
      </c>
      <c r="AB77" s="1" t="s">
        <v>28</v>
      </c>
      <c r="AC77" s="1" t="s">
        <v>2242</v>
      </c>
      <c r="AD77" s="1" t="s">
        <v>34</v>
      </c>
      <c r="AE77" s="1" t="s">
        <v>35</v>
      </c>
      <c r="AF77" s="1" t="s">
        <v>4059</v>
      </c>
      <c r="AG77" s="1" t="s">
        <v>36</v>
      </c>
      <c r="AH77" s="1" t="s">
        <v>788</v>
      </c>
    </row>
    <row r="78" spans="1:34" ht="43.5" x14ac:dyDescent="0.35">
      <c r="A78" s="1">
        <v>0</v>
      </c>
      <c r="B78" s="1" t="s">
        <v>4532</v>
      </c>
      <c r="C78" s="1" t="s">
        <v>308</v>
      </c>
      <c r="D78" s="1" t="s">
        <v>309</v>
      </c>
      <c r="E78" s="4" t="s">
        <v>310</v>
      </c>
      <c r="F78">
        <v>2019</v>
      </c>
      <c r="G78" s="1" t="s">
        <v>202</v>
      </c>
      <c r="H78" s="1" t="s">
        <v>77</v>
      </c>
      <c r="I78" s="1" t="s">
        <v>77</v>
      </c>
      <c r="J78" s="1" t="s">
        <v>311</v>
      </c>
      <c r="N78">
        <v>5</v>
      </c>
      <c r="O78" s="1" t="s">
        <v>312</v>
      </c>
      <c r="P78" s="1" t="s">
        <v>313</v>
      </c>
      <c r="Q78" s="1" t="s">
        <v>314</v>
      </c>
      <c r="R78" s="1" t="s">
        <v>315</v>
      </c>
      <c r="S78" s="1" t="s">
        <v>316</v>
      </c>
      <c r="T78" s="1" t="s">
        <v>28</v>
      </c>
      <c r="U78" s="1" t="s">
        <v>2273</v>
      </c>
      <c r="V78" s="1" t="s">
        <v>28</v>
      </c>
      <c r="W78" s="1" t="s">
        <v>28</v>
      </c>
      <c r="X78" s="1" t="s">
        <v>28</v>
      </c>
      <c r="Z78" s="1" t="s">
        <v>4060</v>
      </c>
      <c r="AA78" s="1" t="s">
        <v>28</v>
      </c>
      <c r="AB78" s="1" t="s">
        <v>28</v>
      </c>
      <c r="AC78" s="1" t="s">
        <v>2242</v>
      </c>
      <c r="AD78" s="1" t="s">
        <v>34</v>
      </c>
      <c r="AE78" s="1" t="s">
        <v>35</v>
      </c>
      <c r="AF78" s="1" t="s">
        <v>4059</v>
      </c>
      <c r="AG78" s="1" t="s">
        <v>36</v>
      </c>
      <c r="AH78" s="1" t="s">
        <v>317</v>
      </c>
    </row>
    <row r="79" spans="1:34" ht="29" x14ac:dyDescent="0.35">
      <c r="A79" s="1">
        <v>0</v>
      </c>
      <c r="B79" s="1" t="s">
        <v>4532</v>
      </c>
      <c r="C79" s="1" t="s">
        <v>308</v>
      </c>
      <c r="D79" s="1" t="s">
        <v>309</v>
      </c>
      <c r="E79" s="4" t="s">
        <v>646</v>
      </c>
      <c r="F79">
        <v>2016</v>
      </c>
      <c r="G79" s="1" t="s">
        <v>461</v>
      </c>
      <c r="H79" s="1" t="s">
        <v>647</v>
      </c>
      <c r="I79" s="1" t="s">
        <v>28</v>
      </c>
      <c r="J79" s="1" t="s">
        <v>28</v>
      </c>
      <c r="K79">
        <v>35</v>
      </c>
      <c r="L79">
        <v>54</v>
      </c>
      <c r="N79">
        <v>46</v>
      </c>
      <c r="O79" s="1" t="s">
        <v>648</v>
      </c>
      <c r="P79" s="1" t="s">
        <v>649</v>
      </c>
      <c r="Q79" s="1" t="s">
        <v>650</v>
      </c>
      <c r="R79" s="1" t="s">
        <v>651</v>
      </c>
      <c r="S79" s="1" t="s">
        <v>652</v>
      </c>
      <c r="T79" s="1" t="s">
        <v>28</v>
      </c>
      <c r="U79" s="1" t="s">
        <v>4098</v>
      </c>
      <c r="V79" s="1" t="s">
        <v>28</v>
      </c>
      <c r="W79" s="1" t="s">
        <v>28</v>
      </c>
      <c r="X79" s="1" t="s">
        <v>28</v>
      </c>
      <c r="Z79" s="1" t="s">
        <v>4012</v>
      </c>
      <c r="AA79" s="1" t="s">
        <v>28</v>
      </c>
      <c r="AB79" s="1" t="s">
        <v>4011</v>
      </c>
      <c r="AC79" s="1" t="s">
        <v>2242</v>
      </c>
      <c r="AD79" s="1" t="s">
        <v>34</v>
      </c>
      <c r="AE79" s="1" t="s">
        <v>35</v>
      </c>
      <c r="AF79" s="1" t="s">
        <v>28</v>
      </c>
      <c r="AG79" s="1" t="s">
        <v>36</v>
      </c>
      <c r="AH79" s="1" t="s">
        <v>653</v>
      </c>
    </row>
    <row r="80" spans="1:34" ht="43.5" x14ac:dyDescent="0.35">
      <c r="A80" s="1">
        <v>4</v>
      </c>
      <c r="B80" s="1" t="s">
        <v>4535</v>
      </c>
      <c r="C80" s="1" t="s">
        <v>717</v>
      </c>
      <c r="D80" s="1" t="s">
        <v>718</v>
      </c>
      <c r="E80" s="4" t="s">
        <v>719</v>
      </c>
      <c r="F80">
        <v>2015</v>
      </c>
      <c r="G80" s="1" t="s">
        <v>720</v>
      </c>
      <c r="H80" s="1" t="s">
        <v>359</v>
      </c>
      <c r="I80" s="1" t="s">
        <v>203</v>
      </c>
      <c r="J80" s="1" t="s">
        <v>28</v>
      </c>
      <c r="K80">
        <v>1387</v>
      </c>
      <c r="L80">
        <v>1397</v>
      </c>
      <c r="N80">
        <v>2</v>
      </c>
      <c r="O80" s="1" t="s">
        <v>721</v>
      </c>
      <c r="P80" s="1" t="s">
        <v>722</v>
      </c>
      <c r="Q80" s="1" t="s">
        <v>723</v>
      </c>
      <c r="R80" s="1" t="s">
        <v>724</v>
      </c>
      <c r="S80" s="1" t="s">
        <v>725</v>
      </c>
      <c r="T80" s="1" t="s">
        <v>28</v>
      </c>
      <c r="U80" s="1" t="s">
        <v>4125</v>
      </c>
      <c r="V80" s="1" t="s">
        <v>28</v>
      </c>
      <c r="W80" s="1" t="s">
        <v>28</v>
      </c>
      <c r="X80" s="1" t="s">
        <v>28</v>
      </c>
      <c r="Z80" s="1" t="s">
        <v>4124</v>
      </c>
      <c r="AA80" s="1" t="s">
        <v>28</v>
      </c>
      <c r="AB80" s="1" t="s">
        <v>4123</v>
      </c>
      <c r="AC80" s="1" t="s">
        <v>4000</v>
      </c>
      <c r="AD80" s="1" t="s">
        <v>34</v>
      </c>
      <c r="AE80" s="1" t="s">
        <v>35</v>
      </c>
      <c r="AF80" s="1" t="s">
        <v>28</v>
      </c>
      <c r="AG80" s="1" t="s">
        <v>36</v>
      </c>
      <c r="AH80" s="1" t="s">
        <v>726</v>
      </c>
    </row>
    <row r="81" spans="1:34" ht="72.5" x14ac:dyDescent="0.35">
      <c r="A81" s="1">
        <v>2</v>
      </c>
      <c r="B81" s="1" t="s">
        <v>1259</v>
      </c>
      <c r="C81" s="1" t="s">
        <v>268</v>
      </c>
      <c r="D81" s="1" t="s">
        <v>269</v>
      </c>
      <c r="E81" s="4" t="s">
        <v>873</v>
      </c>
      <c r="F81">
        <v>2014</v>
      </c>
      <c r="G81" s="1" t="s">
        <v>874</v>
      </c>
      <c r="H81" s="1" t="s">
        <v>875</v>
      </c>
      <c r="I81" s="1" t="s">
        <v>28</v>
      </c>
      <c r="J81" s="1" t="s">
        <v>28</v>
      </c>
      <c r="O81" s="1" t="s">
        <v>28</v>
      </c>
      <c r="P81" s="1" t="s">
        <v>876</v>
      </c>
      <c r="Q81" s="1" t="s">
        <v>877</v>
      </c>
      <c r="R81" s="1" t="s">
        <v>28</v>
      </c>
      <c r="S81" s="1" t="s">
        <v>28</v>
      </c>
      <c r="T81" s="1" t="s">
        <v>874</v>
      </c>
      <c r="U81" s="1" t="s">
        <v>4084</v>
      </c>
      <c r="V81" s="1" t="s">
        <v>873</v>
      </c>
      <c r="W81" s="1" t="s">
        <v>4083</v>
      </c>
      <c r="X81" s="1" t="s">
        <v>4082</v>
      </c>
      <c r="Y81">
        <v>105967</v>
      </c>
      <c r="Z81" s="1" t="s">
        <v>4081</v>
      </c>
      <c r="AA81" s="1" t="s">
        <v>4080</v>
      </c>
      <c r="AB81" s="1" t="s">
        <v>28</v>
      </c>
      <c r="AC81" s="1" t="s">
        <v>2242</v>
      </c>
      <c r="AD81" s="1" t="s">
        <v>275</v>
      </c>
      <c r="AE81" s="1" t="s">
        <v>35</v>
      </c>
      <c r="AF81" s="1" t="s">
        <v>28</v>
      </c>
      <c r="AG81" s="1" t="s">
        <v>36</v>
      </c>
      <c r="AH81" s="1" t="s">
        <v>878</v>
      </c>
    </row>
    <row r="82" spans="1:34" ht="29" x14ac:dyDescent="0.35">
      <c r="A82" s="1">
        <v>2</v>
      </c>
      <c r="B82" s="1" t="s">
        <v>1259</v>
      </c>
      <c r="C82" s="1" t="s">
        <v>268</v>
      </c>
      <c r="D82" s="1" t="s">
        <v>269</v>
      </c>
      <c r="E82" s="4" t="s">
        <v>802</v>
      </c>
      <c r="F82">
        <v>2014</v>
      </c>
      <c r="G82" s="1" t="s">
        <v>803</v>
      </c>
      <c r="H82" s="1" t="s">
        <v>804</v>
      </c>
      <c r="I82" s="1" t="s">
        <v>28</v>
      </c>
      <c r="J82" s="1" t="s">
        <v>28</v>
      </c>
      <c r="O82" s="1" t="s">
        <v>28</v>
      </c>
      <c r="P82" s="1" t="s">
        <v>805</v>
      </c>
      <c r="Q82" s="1" t="s">
        <v>806</v>
      </c>
      <c r="R82" s="1" t="s">
        <v>28</v>
      </c>
      <c r="S82" s="1" t="s">
        <v>28</v>
      </c>
      <c r="T82" s="1" t="s">
        <v>4102</v>
      </c>
      <c r="U82" s="1" t="s">
        <v>28</v>
      </c>
      <c r="V82" s="1" t="s">
        <v>802</v>
      </c>
      <c r="W82" s="1" t="s">
        <v>4101</v>
      </c>
      <c r="X82" s="1" t="s">
        <v>4100</v>
      </c>
      <c r="Y82">
        <v>102943</v>
      </c>
      <c r="Z82" s="1" t="s">
        <v>4071</v>
      </c>
      <c r="AA82" s="1" t="s">
        <v>4099</v>
      </c>
      <c r="AB82" s="1" t="s">
        <v>28</v>
      </c>
      <c r="AC82" s="1" t="s">
        <v>2242</v>
      </c>
      <c r="AD82" s="1" t="s">
        <v>275</v>
      </c>
      <c r="AE82" s="1" t="s">
        <v>35</v>
      </c>
      <c r="AF82" s="1" t="s">
        <v>28</v>
      </c>
      <c r="AG82" s="1" t="s">
        <v>36</v>
      </c>
      <c r="AH82" s="1" t="s">
        <v>807</v>
      </c>
    </row>
    <row r="83" spans="1:34" ht="43.5" x14ac:dyDescent="0.35">
      <c r="A83" s="1">
        <v>4</v>
      </c>
      <c r="B83" s="1" t="s">
        <v>4535</v>
      </c>
      <c r="C83" s="1" t="s">
        <v>826</v>
      </c>
      <c r="D83" s="1" t="s">
        <v>827</v>
      </c>
      <c r="E83" s="4" t="s">
        <v>828</v>
      </c>
      <c r="F83">
        <v>2014</v>
      </c>
      <c r="G83" s="1" t="s">
        <v>820</v>
      </c>
      <c r="H83" s="1" t="s">
        <v>28</v>
      </c>
      <c r="I83" s="1" t="s">
        <v>28</v>
      </c>
      <c r="J83" s="1" t="s">
        <v>28</v>
      </c>
      <c r="K83">
        <v>1806</v>
      </c>
      <c r="L83">
        <v>1811</v>
      </c>
      <c r="O83" s="1" t="s">
        <v>829</v>
      </c>
      <c r="P83" s="1" t="s">
        <v>830</v>
      </c>
      <c r="Q83" s="1" t="s">
        <v>831</v>
      </c>
      <c r="R83" s="1" t="s">
        <v>28</v>
      </c>
      <c r="S83" s="1" t="s">
        <v>832</v>
      </c>
      <c r="T83" s="1" t="s">
        <v>4095</v>
      </c>
      <c r="U83" s="1" t="s">
        <v>4067</v>
      </c>
      <c r="V83" s="1" t="s">
        <v>4094</v>
      </c>
      <c r="W83" s="1" t="s">
        <v>4093</v>
      </c>
      <c r="X83" s="1" t="s">
        <v>28</v>
      </c>
      <c r="Y83">
        <v>112382</v>
      </c>
      <c r="Z83" s="1" t="s">
        <v>28</v>
      </c>
      <c r="AA83" s="1" t="s">
        <v>4092</v>
      </c>
      <c r="AB83" s="1" t="s">
        <v>28</v>
      </c>
      <c r="AC83" s="1" t="s">
        <v>2242</v>
      </c>
      <c r="AD83" s="1" t="s">
        <v>176</v>
      </c>
      <c r="AE83" s="1" t="s">
        <v>35</v>
      </c>
      <c r="AF83" s="1" t="s">
        <v>28</v>
      </c>
      <c r="AG83" s="1" t="s">
        <v>36</v>
      </c>
      <c r="AH83" s="1" t="s">
        <v>833</v>
      </c>
    </row>
    <row r="84" spans="1:34" ht="58" x14ac:dyDescent="0.35">
      <c r="A84" s="1">
        <v>6</v>
      </c>
      <c r="B84" s="1" t="s">
        <v>4538</v>
      </c>
      <c r="C84" s="1" t="s">
        <v>852</v>
      </c>
      <c r="D84" s="1" t="s">
        <v>853</v>
      </c>
      <c r="E84" s="4" t="s">
        <v>854</v>
      </c>
      <c r="F84">
        <v>2014</v>
      </c>
      <c r="G84" s="1" t="s">
        <v>855</v>
      </c>
      <c r="H84" s="1" t="s">
        <v>856</v>
      </c>
      <c r="I84" s="1" t="s">
        <v>857</v>
      </c>
      <c r="J84" s="1" t="s">
        <v>28</v>
      </c>
      <c r="K84">
        <v>30</v>
      </c>
      <c r="L84">
        <v>43</v>
      </c>
      <c r="N84">
        <v>10</v>
      </c>
      <c r="O84" s="1" t="s">
        <v>858</v>
      </c>
      <c r="P84" s="1" t="s">
        <v>859</v>
      </c>
      <c r="Q84" s="1" t="s">
        <v>860</v>
      </c>
      <c r="R84" s="1" t="s">
        <v>861</v>
      </c>
      <c r="S84" s="1" t="s">
        <v>28</v>
      </c>
      <c r="T84" s="1" t="s">
        <v>28</v>
      </c>
      <c r="U84" s="1" t="s">
        <v>4086</v>
      </c>
      <c r="V84" s="1" t="s">
        <v>28</v>
      </c>
      <c r="W84" s="1" t="s">
        <v>28</v>
      </c>
      <c r="X84" s="1" t="s">
        <v>28</v>
      </c>
      <c r="Z84" s="1" t="s">
        <v>4085</v>
      </c>
      <c r="AA84" s="1" t="s">
        <v>28</v>
      </c>
      <c r="AB84" s="1" t="s">
        <v>28</v>
      </c>
      <c r="AC84" s="1" t="s">
        <v>2242</v>
      </c>
      <c r="AD84" s="1" t="s">
        <v>34</v>
      </c>
      <c r="AE84" s="1" t="s">
        <v>35</v>
      </c>
      <c r="AF84" s="1" t="s">
        <v>28</v>
      </c>
      <c r="AG84" s="1" t="s">
        <v>36</v>
      </c>
      <c r="AH84" s="1" t="s">
        <v>862</v>
      </c>
    </row>
    <row r="85" spans="1:34" ht="72.5" x14ac:dyDescent="0.35">
      <c r="A85" s="1">
        <v>4</v>
      </c>
      <c r="B85" s="1" t="s">
        <v>4535</v>
      </c>
      <c r="C85" s="1" t="s">
        <v>789</v>
      </c>
      <c r="D85" s="1" t="s">
        <v>790</v>
      </c>
      <c r="E85" s="4" t="s">
        <v>834</v>
      </c>
      <c r="F85">
        <v>2014</v>
      </c>
      <c r="G85" s="1" t="s">
        <v>820</v>
      </c>
      <c r="H85" s="1" t="s">
        <v>28</v>
      </c>
      <c r="I85" s="1" t="s">
        <v>28</v>
      </c>
      <c r="J85" s="1" t="s">
        <v>28</v>
      </c>
      <c r="K85">
        <v>1819</v>
      </c>
      <c r="L85">
        <v>1825</v>
      </c>
      <c r="N85">
        <v>2</v>
      </c>
      <c r="O85" s="1" t="s">
        <v>835</v>
      </c>
      <c r="P85" s="1" t="s">
        <v>836</v>
      </c>
      <c r="Q85" s="1" t="s">
        <v>837</v>
      </c>
      <c r="R85" s="1" t="s">
        <v>28</v>
      </c>
      <c r="S85" s="1" t="s">
        <v>838</v>
      </c>
      <c r="T85" s="1" t="s">
        <v>4095</v>
      </c>
      <c r="U85" s="1" t="s">
        <v>4067</v>
      </c>
      <c r="V85" s="1" t="s">
        <v>4094</v>
      </c>
      <c r="W85" s="1" t="s">
        <v>4093</v>
      </c>
      <c r="X85" s="1" t="s">
        <v>28</v>
      </c>
      <c r="Y85">
        <v>112382</v>
      </c>
      <c r="Z85" s="1" t="s">
        <v>28</v>
      </c>
      <c r="AA85" s="1" t="s">
        <v>4092</v>
      </c>
      <c r="AB85" s="1" t="s">
        <v>28</v>
      </c>
      <c r="AC85" s="1" t="s">
        <v>2242</v>
      </c>
      <c r="AD85" s="1" t="s">
        <v>176</v>
      </c>
      <c r="AE85" s="1" t="s">
        <v>35</v>
      </c>
      <c r="AF85" s="1" t="s">
        <v>28</v>
      </c>
      <c r="AG85" s="1" t="s">
        <v>36</v>
      </c>
      <c r="AH85" s="1" t="s">
        <v>839</v>
      </c>
    </row>
    <row r="86" spans="1:34" ht="43.5" x14ac:dyDescent="0.35">
      <c r="A86" s="1">
        <v>4</v>
      </c>
      <c r="B86" s="1" t="s">
        <v>4535</v>
      </c>
      <c r="C86" s="1" t="s">
        <v>355</v>
      </c>
      <c r="D86" s="1" t="s">
        <v>356</v>
      </c>
      <c r="E86" s="4" t="s">
        <v>819</v>
      </c>
      <c r="F86">
        <v>2014</v>
      </c>
      <c r="G86" s="1" t="s">
        <v>820</v>
      </c>
      <c r="H86" s="1" t="s">
        <v>28</v>
      </c>
      <c r="I86" s="1" t="s">
        <v>28</v>
      </c>
      <c r="J86" s="1" t="s">
        <v>28</v>
      </c>
      <c r="K86">
        <v>1834</v>
      </c>
      <c r="L86">
        <v>1841</v>
      </c>
      <c r="N86">
        <v>2</v>
      </c>
      <c r="O86" s="1" t="s">
        <v>821</v>
      </c>
      <c r="P86" s="1" t="s">
        <v>822</v>
      </c>
      <c r="Q86" s="1" t="s">
        <v>823</v>
      </c>
      <c r="R86" s="1" t="s">
        <v>28</v>
      </c>
      <c r="S86" s="1" t="s">
        <v>824</v>
      </c>
      <c r="T86" s="1" t="s">
        <v>4095</v>
      </c>
      <c r="U86" s="1" t="s">
        <v>4067</v>
      </c>
      <c r="V86" s="1" t="s">
        <v>4094</v>
      </c>
      <c r="W86" s="1" t="s">
        <v>4093</v>
      </c>
      <c r="X86" s="1" t="s">
        <v>28</v>
      </c>
      <c r="Y86">
        <v>112382</v>
      </c>
      <c r="Z86" s="1" t="s">
        <v>28</v>
      </c>
      <c r="AA86" s="1" t="s">
        <v>4092</v>
      </c>
      <c r="AB86" s="1" t="s">
        <v>28</v>
      </c>
      <c r="AC86" s="1" t="s">
        <v>2242</v>
      </c>
      <c r="AD86" s="1" t="s">
        <v>176</v>
      </c>
      <c r="AE86" s="1" t="s">
        <v>35</v>
      </c>
      <c r="AF86" s="1" t="s">
        <v>28</v>
      </c>
      <c r="AG86" s="1" t="s">
        <v>36</v>
      </c>
      <c r="AH86" s="1" t="s">
        <v>825</v>
      </c>
    </row>
    <row r="87" spans="1:34" ht="43.5" x14ac:dyDescent="0.35">
      <c r="A87" s="1">
        <v>3</v>
      </c>
      <c r="B87" s="1" t="s">
        <v>2149</v>
      </c>
      <c r="C87" s="1" t="s">
        <v>888</v>
      </c>
      <c r="D87" s="1" t="s">
        <v>889</v>
      </c>
      <c r="E87" s="4" t="s">
        <v>890</v>
      </c>
      <c r="F87">
        <v>2014</v>
      </c>
      <c r="G87" s="1" t="s">
        <v>891</v>
      </c>
      <c r="H87" s="1" t="s">
        <v>77</v>
      </c>
      <c r="I87" s="1" t="s">
        <v>78</v>
      </c>
      <c r="J87" s="1" t="s">
        <v>28</v>
      </c>
      <c r="K87">
        <v>17</v>
      </c>
      <c r="L87">
        <v>37</v>
      </c>
      <c r="N87">
        <v>4</v>
      </c>
      <c r="O87" s="1" t="s">
        <v>892</v>
      </c>
      <c r="P87" s="1" t="s">
        <v>893</v>
      </c>
      <c r="Q87" s="1" t="s">
        <v>894</v>
      </c>
      <c r="R87" s="1" t="s">
        <v>895</v>
      </c>
      <c r="S87" s="1" t="s">
        <v>28</v>
      </c>
      <c r="T87" s="1" t="s">
        <v>28</v>
      </c>
      <c r="U87" s="1" t="s">
        <v>4008</v>
      </c>
      <c r="V87" s="1" t="s">
        <v>28</v>
      </c>
      <c r="W87" s="1" t="s">
        <v>28</v>
      </c>
      <c r="X87" s="1" t="s">
        <v>28</v>
      </c>
      <c r="Z87" s="1" t="s">
        <v>4079</v>
      </c>
      <c r="AA87" s="1" t="s">
        <v>28</v>
      </c>
      <c r="AB87" s="1" t="s">
        <v>28</v>
      </c>
      <c r="AC87" s="1" t="s">
        <v>2242</v>
      </c>
      <c r="AD87" s="1" t="s">
        <v>34</v>
      </c>
      <c r="AE87" s="1" t="s">
        <v>35</v>
      </c>
      <c r="AF87" s="1" t="s">
        <v>28</v>
      </c>
      <c r="AG87" s="1" t="s">
        <v>36</v>
      </c>
      <c r="AH87" s="1" t="s">
        <v>896</v>
      </c>
    </row>
    <row r="88" spans="1:34" x14ac:dyDescent="0.35">
      <c r="A88" s="1">
        <v>2</v>
      </c>
      <c r="B88" s="1" t="s">
        <v>1259</v>
      </c>
      <c r="C88" s="1" t="s">
        <v>268</v>
      </c>
      <c r="D88" s="1" t="s">
        <v>269</v>
      </c>
      <c r="E88" s="4" t="s">
        <v>848</v>
      </c>
      <c r="F88">
        <v>2014</v>
      </c>
      <c r="G88" s="1" t="s">
        <v>848</v>
      </c>
      <c r="H88" s="1" t="s">
        <v>28</v>
      </c>
      <c r="I88" s="1" t="s">
        <v>28</v>
      </c>
      <c r="J88" s="1" t="s">
        <v>28</v>
      </c>
      <c r="K88">
        <v>405</v>
      </c>
      <c r="O88" s="1" t="s">
        <v>28</v>
      </c>
      <c r="P88" s="1" t="s">
        <v>849</v>
      </c>
      <c r="Q88" s="1" t="s">
        <v>850</v>
      </c>
      <c r="R88" s="1" t="s">
        <v>28</v>
      </c>
      <c r="S88" s="1" t="s">
        <v>28</v>
      </c>
      <c r="T88" s="1" t="s">
        <v>4091</v>
      </c>
      <c r="U88" s="1" t="s">
        <v>4090</v>
      </c>
      <c r="V88" s="1" t="s">
        <v>4089</v>
      </c>
      <c r="W88" s="1" t="s">
        <v>4088</v>
      </c>
      <c r="X88" s="1" t="s">
        <v>28</v>
      </c>
      <c r="Y88">
        <v>111677</v>
      </c>
      <c r="Z88" s="1" t="s">
        <v>28</v>
      </c>
      <c r="AA88" s="1" t="s">
        <v>4087</v>
      </c>
      <c r="AB88" s="1" t="s">
        <v>28</v>
      </c>
      <c r="AC88" s="1" t="s">
        <v>2242</v>
      </c>
      <c r="AD88" s="1" t="s">
        <v>275</v>
      </c>
      <c r="AE88" s="1" t="s">
        <v>35</v>
      </c>
      <c r="AF88" s="1" t="s">
        <v>28</v>
      </c>
      <c r="AG88" s="1" t="s">
        <v>36</v>
      </c>
      <c r="AH88" s="1" t="s">
        <v>851</v>
      </c>
    </row>
    <row r="89" spans="1:34" ht="29" x14ac:dyDescent="0.35">
      <c r="A89" s="1">
        <v>3</v>
      </c>
      <c r="B89" s="1" t="s">
        <v>2149</v>
      </c>
      <c r="C89" s="1" t="s">
        <v>808</v>
      </c>
      <c r="D89" s="1" t="s">
        <v>809</v>
      </c>
      <c r="E89" s="4" t="s">
        <v>810</v>
      </c>
      <c r="F89">
        <v>2014</v>
      </c>
      <c r="G89" s="1" t="s">
        <v>811</v>
      </c>
      <c r="H89" s="1" t="s">
        <v>812</v>
      </c>
      <c r="I89" s="1" t="s">
        <v>28</v>
      </c>
      <c r="J89" s="1" t="s">
        <v>28</v>
      </c>
      <c r="K89">
        <v>286</v>
      </c>
      <c r="L89">
        <v>299</v>
      </c>
      <c r="N89">
        <v>30</v>
      </c>
      <c r="O89" s="1" t="s">
        <v>813</v>
      </c>
      <c r="P89" s="1" t="s">
        <v>814</v>
      </c>
      <c r="Q89" s="1" t="s">
        <v>815</v>
      </c>
      <c r="R89" s="1" t="s">
        <v>816</v>
      </c>
      <c r="S89" s="1" t="s">
        <v>817</v>
      </c>
      <c r="T89" s="1" t="s">
        <v>28</v>
      </c>
      <c r="U89" s="1" t="s">
        <v>4098</v>
      </c>
      <c r="V89" s="1" t="s">
        <v>28</v>
      </c>
      <c r="W89" s="1" t="s">
        <v>28</v>
      </c>
      <c r="X89" s="1" t="s">
        <v>28</v>
      </c>
      <c r="Z89" s="1" t="s">
        <v>4097</v>
      </c>
      <c r="AA89" s="1" t="s">
        <v>28</v>
      </c>
      <c r="AB89" s="1" t="s">
        <v>4096</v>
      </c>
      <c r="AC89" s="1" t="s">
        <v>2242</v>
      </c>
      <c r="AD89" s="1" t="s">
        <v>34</v>
      </c>
      <c r="AE89" s="1" t="s">
        <v>35</v>
      </c>
      <c r="AF89" s="1" t="s">
        <v>3970</v>
      </c>
      <c r="AG89" s="1" t="s">
        <v>36</v>
      </c>
      <c r="AH89" s="1" t="s">
        <v>818</v>
      </c>
    </row>
    <row r="90" spans="1:34" ht="58" x14ac:dyDescent="0.35">
      <c r="A90" s="1">
        <v>4</v>
      </c>
      <c r="B90" s="1" t="s">
        <v>4535</v>
      </c>
      <c r="C90" s="1" t="s">
        <v>840</v>
      </c>
      <c r="D90" s="1" t="s">
        <v>841</v>
      </c>
      <c r="E90" s="4" t="s">
        <v>842</v>
      </c>
      <c r="F90">
        <v>2014</v>
      </c>
      <c r="G90" s="1" t="s">
        <v>820</v>
      </c>
      <c r="H90" s="1" t="s">
        <v>28</v>
      </c>
      <c r="I90" s="1" t="s">
        <v>28</v>
      </c>
      <c r="J90" s="1" t="s">
        <v>28</v>
      </c>
      <c r="K90">
        <v>1812</v>
      </c>
      <c r="L90">
        <v>1818</v>
      </c>
      <c r="O90" s="1" t="s">
        <v>843</v>
      </c>
      <c r="P90" s="1" t="s">
        <v>844</v>
      </c>
      <c r="Q90" s="1" t="s">
        <v>845</v>
      </c>
      <c r="R90" s="1" t="s">
        <v>28</v>
      </c>
      <c r="S90" s="1" t="s">
        <v>846</v>
      </c>
      <c r="T90" s="1" t="s">
        <v>4095</v>
      </c>
      <c r="U90" s="1" t="s">
        <v>4067</v>
      </c>
      <c r="V90" s="1" t="s">
        <v>4094</v>
      </c>
      <c r="W90" s="1" t="s">
        <v>4093</v>
      </c>
      <c r="X90" s="1" t="s">
        <v>28</v>
      </c>
      <c r="Y90">
        <v>112382</v>
      </c>
      <c r="Z90" s="1" t="s">
        <v>28</v>
      </c>
      <c r="AA90" s="1" t="s">
        <v>4092</v>
      </c>
      <c r="AB90" s="1" t="s">
        <v>28</v>
      </c>
      <c r="AC90" s="1" t="s">
        <v>2242</v>
      </c>
      <c r="AD90" s="1" t="s">
        <v>176</v>
      </c>
      <c r="AE90" s="1" t="s">
        <v>35</v>
      </c>
      <c r="AF90" s="1" t="s">
        <v>28</v>
      </c>
      <c r="AG90" s="1" t="s">
        <v>36</v>
      </c>
      <c r="AH90" s="1" t="s">
        <v>847</v>
      </c>
    </row>
    <row r="91" spans="1:34" ht="29" x14ac:dyDescent="0.35">
      <c r="A91" s="1">
        <v>0</v>
      </c>
      <c r="B91" s="1" t="s">
        <v>4532</v>
      </c>
      <c r="C91" s="1" t="s">
        <v>943</v>
      </c>
      <c r="D91" s="1" t="s">
        <v>944</v>
      </c>
      <c r="E91" s="4" t="s">
        <v>945</v>
      </c>
      <c r="F91">
        <v>2013</v>
      </c>
      <c r="G91" s="1" t="s">
        <v>202</v>
      </c>
      <c r="H91" s="1" t="s">
        <v>512</v>
      </c>
      <c r="I91" s="1" t="s">
        <v>113</v>
      </c>
      <c r="J91" s="1" t="s">
        <v>28</v>
      </c>
      <c r="K91">
        <v>1082</v>
      </c>
      <c r="L91">
        <v>1100</v>
      </c>
      <c r="N91">
        <v>33</v>
      </c>
      <c r="O91" s="1" t="s">
        <v>946</v>
      </c>
      <c r="P91" s="1" t="s">
        <v>947</v>
      </c>
      <c r="Q91" s="1" t="s">
        <v>948</v>
      </c>
      <c r="R91" s="1" t="s">
        <v>949</v>
      </c>
      <c r="S91" s="1" t="s">
        <v>950</v>
      </c>
      <c r="T91" s="1" t="s">
        <v>28</v>
      </c>
      <c r="U91" s="1" t="s">
        <v>2273</v>
      </c>
      <c r="V91" s="1" t="s">
        <v>28</v>
      </c>
      <c r="W91" s="1" t="s">
        <v>28</v>
      </c>
      <c r="X91" s="1" t="s">
        <v>28</v>
      </c>
      <c r="Z91" s="1" t="s">
        <v>4060</v>
      </c>
      <c r="AA91" s="1" t="s">
        <v>28</v>
      </c>
      <c r="AB91" s="1" t="s">
        <v>28</v>
      </c>
      <c r="AC91" s="1" t="s">
        <v>2242</v>
      </c>
      <c r="AD91" s="1" t="s">
        <v>34</v>
      </c>
      <c r="AE91" s="1" t="s">
        <v>35</v>
      </c>
      <c r="AF91" s="1" t="s">
        <v>4059</v>
      </c>
      <c r="AG91" s="1" t="s">
        <v>36</v>
      </c>
      <c r="AH91" s="1" t="s">
        <v>951</v>
      </c>
    </row>
    <row r="92" spans="1:34" ht="43.5" x14ac:dyDescent="0.35">
      <c r="A92" s="1">
        <v>6</v>
      </c>
      <c r="B92" s="1" t="s">
        <v>2213</v>
      </c>
      <c r="C92" s="1" t="s">
        <v>879</v>
      </c>
      <c r="D92" s="1" t="s">
        <v>880</v>
      </c>
      <c r="E92" s="4" t="s">
        <v>881</v>
      </c>
      <c r="F92">
        <v>2014</v>
      </c>
      <c r="G92" s="1" t="s">
        <v>202</v>
      </c>
      <c r="H92" s="1" t="s">
        <v>857</v>
      </c>
      <c r="I92" s="1" t="s">
        <v>113</v>
      </c>
      <c r="J92" s="1" t="s">
        <v>28</v>
      </c>
      <c r="K92">
        <v>723</v>
      </c>
      <c r="L92">
        <v>744</v>
      </c>
      <c r="N92">
        <v>11</v>
      </c>
      <c r="O92" s="1" t="s">
        <v>882</v>
      </c>
      <c r="P92" s="1" t="s">
        <v>883</v>
      </c>
      <c r="Q92" s="1" t="s">
        <v>884</v>
      </c>
      <c r="R92" s="1" t="s">
        <v>885</v>
      </c>
      <c r="S92" s="1" t="s">
        <v>886</v>
      </c>
      <c r="T92" s="1" t="s">
        <v>28</v>
      </c>
      <c r="U92" s="1" t="s">
        <v>2273</v>
      </c>
      <c r="V92" s="1" t="s">
        <v>28</v>
      </c>
      <c r="W92" s="1" t="s">
        <v>28</v>
      </c>
      <c r="X92" s="1" t="s">
        <v>28</v>
      </c>
      <c r="Z92" s="1" t="s">
        <v>4060</v>
      </c>
      <c r="AA92" s="1" t="s">
        <v>28</v>
      </c>
      <c r="AB92" s="1" t="s">
        <v>28</v>
      </c>
      <c r="AC92" s="1" t="s">
        <v>2242</v>
      </c>
      <c r="AD92" s="1" t="s">
        <v>34</v>
      </c>
      <c r="AE92" s="1" t="s">
        <v>35</v>
      </c>
      <c r="AF92" s="1" t="s">
        <v>4059</v>
      </c>
      <c r="AG92" s="1" t="s">
        <v>36</v>
      </c>
      <c r="AH92" s="1" t="s">
        <v>887</v>
      </c>
    </row>
    <row r="93" spans="1:34" ht="43.5" x14ac:dyDescent="0.35">
      <c r="A93" s="1">
        <v>2</v>
      </c>
      <c r="B93" s="1" t="s">
        <v>1259</v>
      </c>
      <c r="C93" s="1" t="s">
        <v>268</v>
      </c>
      <c r="D93" s="1" t="s">
        <v>269</v>
      </c>
      <c r="E93" s="4" t="s">
        <v>897</v>
      </c>
      <c r="F93">
        <v>2013</v>
      </c>
      <c r="G93" s="1" t="s">
        <v>803</v>
      </c>
      <c r="H93" s="1" t="s">
        <v>898</v>
      </c>
      <c r="I93" s="1" t="s">
        <v>28</v>
      </c>
      <c r="J93" s="1" t="s">
        <v>28</v>
      </c>
      <c r="O93" s="1" t="s">
        <v>28</v>
      </c>
      <c r="P93" s="1" t="s">
        <v>899</v>
      </c>
      <c r="Q93" s="1" t="s">
        <v>900</v>
      </c>
      <c r="R93" s="1" t="s">
        <v>28</v>
      </c>
      <c r="S93" s="1" t="s">
        <v>28</v>
      </c>
      <c r="T93" s="1" t="s">
        <v>4078</v>
      </c>
      <c r="U93" s="1" t="s">
        <v>28</v>
      </c>
      <c r="V93" s="1" t="s">
        <v>4077</v>
      </c>
      <c r="W93" s="1" t="s">
        <v>4076</v>
      </c>
      <c r="X93" s="1" t="s">
        <v>4075</v>
      </c>
      <c r="Y93">
        <v>100435</v>
      </c>
      <c r="Z93" s="1" t="s">
        <v>4071</v>
      </c>
      <c r="AA93" s="1" t="s">
        <v>4074</v>
      </c>
      <c r="AB93" s="1" t="s">
        <v>28</v>
      </c>
      <c r="AC93" s="1" t="s">
        <v>2242</v>
      </c>
      <c r="AD93" s="1" t="s">
        <v>275</v>
      </c>
      <c r="AE93" s="1" t="s">
        <v>35</v>
      </c>
      <c r="AF93" s="1" t="s">
        <v>28</v>
      </c>
      <c r="AG93" s="1" t="s">
        <v>36</v>
      </c>
      <c r="AH93" s="1" t="s">
        <v>901</v>
      </c>
    </row>
    <row r="94" spans="1:34" ht="43.5" x14ac:dyDescent="0.35">
      <c r="A94" s="1">
        <v>2</v>
      </c>
      <c r="B94" s="1" t="s">
        <v>1259</v>
      </c>
      <c r="C94" s="1" t="s">
        <v>268</v>
      </c>
      <c r="D94" s="1" t="s">
        <v>269</v>
      </c>
      <c r="E94" s="4" t="s">
        <v>902</v>
      </c>
      <c r="F94">
        <v>2013</v>
      </c>
      <c r="G94" s="1" t="s">
        <v>803</v>
      </c>
      <c r="H94" s="1" t="s">
        <v>903</v>
      </c>
      <c r="I94" s="1" t="s">
        <v>28</v>
      </c>
      <c r="J94" s="1" t="s">
        <v>28</v>
      </c>
      <c r="O94" s="1" t="s">
        <v>28</v>
      </c>
      <c r="P94" s="1" t="s">
        <v>904</v>
      </c>
      <c r="Q94" s="1" t="s">
        <v>905</v>
      </c>
      <c r="R94" s="1" t="s">
        <v>28</v>
      </c>
      <c r="S94" s="1" t="s">
        <v>28</v>
      </c>
      <c r="T94" s="1" t="s">
        <v>28</v>
      </c>
      <c r="U94" s="1" t="s">
        <v>28</v>
      </c>
      <c r="V94" s="1" t="s">
        <v>902</v>
      </c>
      <c r="W94" s="1" t="s">
        <v>4073</v>
      </c>
      <c r="X94" s="1" t="s">
        <v>4072</v>
      </c>
      <c r="Y94">
        <v>99783</v>
      </c>
      <c r="Z94" s="1" t="s">
        <v>4071</v>
      </c>
      <c r="AA94" s="1" t="s">
        <v>4070</v>
      </c>
      <c r="AB94" s="1" t="s">
        <v>28</v>
      </c>
      <c r="AC94" s="1" t="s">
        <v>2242</v>
      </c>
      <c r="AD94" s="1" t="s">
        <v>275</v>
      </c>
      <c r="AE94" s="1" t="s">
        <v>35</v>
      </c>
      <c r="AF94" s="1" t="s">
        <v>28</v>
      </c>
      <c r="AG94" s="1" t="s">
        <v>36</v>
      </c>
      <c r="AH94" s="1" t="s">
        <v>906</v>
      </c>
    </row>
    <row r="95" spans="1:34" ht="58" x14ac:dyDescent="0.35">
      <c r="A95" s="1">
        <v>0</v>
      </c>
      <c r="B95" s="1" t="s">
        <v>4532</v>
      </c>
      <c r="C95" s="1" t="s">
        <v>636</v>
      </c>
      <c r="D95" s="1" t="s">
        <v>637</v>
      </c>
      <c r="E95" s="4" t="s">
        <v>638</v>
      </c>
      <c r="F95">
        <v>2017</v>
      </c>
      <c r="G95" s="1" t="s">
        <v>358</v>
      </c>
      <c r="H95" s="1" t="s">
        <v>639</v>
      </c>
      <c r="I95" s="1" t="s">
        <v>28</v>
      </c>
      <c r="J95" s="1" t="s">
        <v>28</v>
      </c>
      <c r="K95">
        <v>420</v>
      </c>
      <c r="L95">
        <v>434</v>
      </c>
      <c r="N95">
        <v>60</v>
      </c>
      <c r="O95" s="1" t="s">
        <v>640</v>
      </c>
      <c r="P95" s="1" t="s">
        <v>641</v>
      </c>
      <c r="Q95" s="1" t="s">
        <v>642</v>
      </c>
      <c r="R95" s="1" t="s">
        <v>643</v>
      </c>
      <c r="S95" s="1" t="s">
        <v>644</v>
      </c>
      <c r="T95" s="1" t="s">
        <v>28</v>
      </c>
      <c r="U95" s="1" t="s">
        <v>4098</v>
      </c>
      <c r="V95" s="1" t="s">
        <v>28</v>
      </c>
      <c r="W95" s="1" t="s">
        <v>28</v>
      </c>
      <c r="X95" s="1" t="s">
        <v>28</v>
      </c>
      <c r="Z95" s="1" t="s">
        <v>4144</v>
      </c>
      <c r="AA95" s="1" t="s">
        <v>28</v>
      </c>
      <c r="AB95" s="1" t="s">
        <v>28</v>
      </c>
      <c r="AC95" s="1" t="s">
        <v>2242</v>
      </c>
      <c r="AD95" s="1" t="s">
        <v>34</v>
      </c>
      <c r="AE95" s="1" t="s">
        <v>35</v>
      </c>
      <c r="AF95" s="1" t="s">
        <v>4018</v>
      </c>
      <c r="AG95" s="1" t="s">
        <v>36</v>
      </c>
      <c r="AH95" s="1" t="s">
        <v>645</v>
      </c>
    </row>
    <row r="96" spans="1:34" ht="72.5" x14ac:dyDescent="0.35">
      <c r="A96" s="1">
        <v>4</v>
      </c>
      <c r="B96" s="1" t="s">
        <v>4535</v>
      </c>
      <c r="C96" s="1" t="s">
        <v>926</v>
      </c>
      <c r="D96" s="1" t="s">
        <v>927</v>
      </c>
      <c r="E96" s="4" t="s">
        <v>928</v>
      </c>
      <c r="F96">
        <v>2013</v>
      </c>
      <c r="G96" s="1" t="s">
        <v>920</v>
      </c>
      <c r="H96" s="1" t="s">
        <v>28</v>
      </c>
      <c r="I96" s="1" t="s">
        <v>28</v>
      </c>
      <c r="J96" s="1" t="s">
        <v>28</v>
      </c>
      <c r="K96">
        <v>2299</v>
      </c>
      <c r="L96">
        <v>2306</v>
      </c>
      <c r="O96" s="1" t="s">
        <v>929</v>
      </c>
      <c r="P96" s="1" t="s">
        <v>930</v>
      </c>
      <c r="Q96" s="1" t="s">
        <v>931</v>
      </c>
      <c r="R96" s="1" t="s">
        <v>932</v>
      </c>
      <c r="S96" s="1" t="s">
        <v>933</v>
      </c>
      <c r="T96" s="1" t="s">
        <v>4068</v>
      </c>
      <c r="U96" s="1" t="s">
        <v>4067</v>
      </c>
      <c r="V96" s="1" t="s">
        <v>4066</v>
      </c>
      <c r="W96" s="1" t="s">
        <v>4065</v>
      </c>
      <c r="X96" s="1" t="s">
        <v>4064</v>
      </c>
      <c r="Y96">
        <v>100671</v>
      </c>
      <c r="Z96" s="1" t="s">
        <v>28</v>
      </c>
      <c r="AA96" s="1" t="s">
        <v>4063</v>
      </c>
      <c r="AB96" s="1" t="s">
        <v>28</v>
      </c>
      <c r="AC96" s="1" t="s">
        <v>2242</v>
      </c>
      <c r="AD96" s="1" t="s">
        <v>176</v>
      </c>
      <c r="AE96" s="1" t="s">
        <v>35</v>
      </c>
      <c r="AF96" s="1" t="s">
        <v>28</v>
      </c>
      <c r="AG96" s="1" t="s">
        <v>36</v>
      </c>
      <c r="AH96" s="1" t="s">
        <v>934</v>
      </c>
    </row>
    <row r="97" spans="1:34" ht="43.5" x14ac:dyDescent="0.35">
      <c r="A97" s="1">
        <v>4</v>
      </c>
      <c r="B97" s="1" t="s">
        <v>4535</v>
      </c>
      <c r="C97" s="1" t="s">
        <v>917</v>
      </c>
      <c r="D97" s="1" t="s">
        <v>918</v>
      </c>
      <c r="E97" s="4" t="s">
        <v>919</v>
      </c>
      <c r="F97">
        <v>2013</v>
      </c>
      <c r="G97" s="1" t="s">
        <v>920</v>
      </c>
      <c r="H97" s="1" t="s">
        <v>28</v>
      </c>
      <c r="I97" s="1" t="s">
        <v>28</v>
      </c>
      <c r="J97" s="1" t="s">
        <v>28</v>
      </c>
      <c r="K97">
        <v>2567</v>
      </c>
      <c r="L97">
        <v>2574</v>
      </c>
      <c r="O97" s="1" t="s">
        <v>921</v>
      </c>
      <c r="P97" s="1" t="s">
        <v>922</v>
      </c>
      <c r="Q97" s="1" t="s">
        <v>923</v>
      </c>
      <c r="R97" s="1" t="s">
        <v>28</v>
      </c>
      <c r="S97" s="1" t="s">
        <v>924</v>
      </c>
      <c r="T97" s="1" t="s">
        <v>4068</v>
      </c>
      <c r="U97" s="1" t="s">
        <v>4067</v>
      </c>
      <c r="V97" s="1" t="s">
        <v>4066</v>
      </c>
      <c r="W97" s="1" t="s">
        <v>4065</v>
      </c>
      <c r="X97" s="1" t="s">
        <v>4064</v>
      </c>
      <c r="Y97">
        <v>100671</v>
      </c>
      <c r="Z97" s="1" t="s">
        <v>28</v>
      </c>
      <c r="AA97" s="1" t="s">
        <v>4063</v>
      </c>
      <c r="AB97" s="1" t="s">
        <v>28</v>
      </c>
      <c r="AC97" s="1" t="s">
        <v>2242</v>
      </c>
      <c r="AD97" s="1" t="s">
        <v>176</v>
      </c>
      <c r="AE97" s="1" t="s">
        <v>35</v>
      </c>
      <c r="AF97" s="1" t="s">
        <v>28</v>
      </c>
      <c r="AG97" s="1" t="s">
        <v>36</v>
      </c>
      <c r="AH97" s="1" t="s">
        <v>925</v>
      </c>
    </row>
    <row r="98" spans="1:34" ht="43.5" x14ac:dyDescent="0.35">
      <c r="A98" s="1">
        <v>0</v>
      </c>
      <c r="B98" s="1" t="s">
        <v>4532</v>
      </c>
      <c r="C98" s="1" t="s">
        <v>769</v>
      </c>
      <c r="D98" s="1" t="s">
        <v>770</v>
      </c>
      <c r="E98" s="4" t="s">
        <v>771</v>
      </c>
      <c r="F98">
        <v>2015</v>
      </c>
      <c r="G98" s="1" t="s">
        <v>300</v>
      </c>
      <c r="H98" s="1" t="s">
        <v>772</v>
      </c>
      <c r="I98" s="1" t="s">
        <v>28</v>
      </c>
      <c r="J98" s="1" t="s">
        <v>773</v>
      </c>
      <c r="K98">
        <v>1120</v>
      </c>
      <c r="L98">
        <v>1131</v>
      </c>
      <c r="N98">
        <v>2</v>
      </c>
      <c r="O98" s="1" t="s">
        <v>774</v>
      </c>
      <c r="P98" s="1" t="s">
        <v>775</v>
      </c>
      <c r="Q98" s="1" t="s">
        <v>776</v>
      </c>
      <c r="R98" s="1" t="s">
        <v>28</v>
      </c>
      <c r="S98" s="1" t="s">
        <v>777</v>
      </c>
      <c r="T98" s="1" t="s">
        <v>28</v>
      </c>
      <c r="U98" s="1" t="s">
        <v>4115</v>
      </c>
      <c r="V98" s="1" t="s">
        <v>4114</v>
      </c>
      <c r="W98" s="1" t="s">
        <v>4113</v>
      </c>
      <c r="X98" s="1" t="s">
        <v>28</v>
      </c>
      <c r="Y98">
        <v>112842</v>
      </c>
      <c r="Z98" s="1" t="s">
        <v>4112</v>
      </c>
      <c r="AA98" s="1" t="s">
        <v>4111</v>
      </c>
      <c r="AB98" s="1" t="s">
        <v>4110</v>
      </c>
      <c r="AC98" s="1" t="s">
        <v>2242</v>
      </c>
      <c r="AD98" s="1" t="s">
        <v>176</v>
      </c>
      <c r="AE98" s="1" t="s">
        <v>35</v>
      </c>
      <c r="AF98" s="1" t="s">
        <v>3970</v>
      </c>
      <c r="AG98" s="1" t="s">
        <v>36</v>
      </c>
      <c r="AH98" s="1" t="s">
        <v>778</v>
      </c>
    </row>
    <row r="99" spans="1:34" ht="43.5" x14ac:dyDescent="0.35">
      <c r="A99" s="1">
        <v>9</v>
      </c>
      <c r="B99" s="1" t="s">
        <v>4315</v>
      </c>
      <c r="C99" s="1" t="s">
        <v>168</v>
      </c>
      <c r="D99" s="1" t="s">
        <v>169</v>
      </c>
      <c r="E99" s="4" t="s">
        <v>170</v>
      </c>
      <c r="F99">
        <v>2021</v>
      </c>
      <c r="G99" s="1" t="s">
        <v>171</v>
      </c>
      <c r="H99" s="1" t="s">
        <v>28</v>
      </c>
      <c r="I99" s="1" t="s">
        <v>28</v>
      </c>
      <c r="J99" s="1" t="s">
        <v>28</v>
      </c>
      <c r="O99" s="1" t="s">
        <v>172</v>
      </c>
      <c r="P99" s="1" t="s">
        <v>173</v>
      </c>
      <c r="Q99" s="1" t="s">
        <v>174</v>
      </c>
      <c r="R99" s="1" t="s">
        <v>28</v>
      </c>
      <c r="S99" s="1" t="s">
        <v>175</v>
      </c>
      <c r="T99" s="1" t="s">
        <v>4245</v>
      </c>
      <c r="U99" s="1" t="s">
        <v>4115</v>
      </c>
      <c r="V99" s="1" t="s">
        <v>4244</v>
      </c>
      <c r="W99" s="1" t="s">
        <v>4243</v>
      </c>
      <c r="X99" s="1" t="s">
        <v>28</v>
      </c>
      <c r="Y99">
        <v>175677</v>
      </c>
      <c r="Z99" s="1" t="s">
        <v>28</v>
      </c>
      <c r="AA99" s="1" t="s">
        <v>4242</v>
      </c>
      <c r="AB99" s="1" t="s">
        <v>28</v>
      </c>
      <c r="AC99" s="1" t="s">
        <v>2242</v>
      </c>
      <c r="AD99" s="1" t="s">
        <v>176</v>
      </c>
      <c r="AE99" s="1" t="s">
        <v>35</v>
      </c>
      <c r="AF99" s="1" t="s">
        <v>28</v>
      </c>
      <c r="AG99" s="1" t="s">
        <v>36</v>
      </c>
      <c r="AH99" s="1" t="s">
        <v>177</v>
      </c>
    </row>
    <row r="100" spans="1:34" ht="43.5" x14ac:dyDescent="0.35">
      <c r="A100" s="1">
        <v>3</v>
      </c>
      <c r="B100" s="1" t="s">
        <v>2149</v>
      </c>
      <c r="C100" s="1" t="s">
        <v>935</v>
      </c>
      <c r="D100" s="1" t="s">
        <v>936</v>
      </c>
      <c r="E100" s="4" t="s">
        <v>937</v>
      </c>
      <c r="F100">
        <v>2013</v>
      </c>
      <c r="G100" s="1" t="s">
        <v>472</v>
      </c>
      <c r="H100" s="1" t="s">
        <v>227</v>
      </c>
      <c r="I100" s="1" t="s">
        <v>125</v>
      </c>
      <c r="J100" s="1" t="s">
        <v>28</v>
      </c>
      <c r="N100">
        <v>8</v>
      </c>
      <c r="O100" s="1" t="s">
        <v>938</v>
      </c>
      <c r="P100" s="1" t="s">
        <v>939</v>
      </c>
      <c r="Q100" s="1" t="s">
        <v>940</v>
      </c>
      <c r="R100" s="1" t="s">
        <v>941</v>
      </c>
      <c r="S100" s="1" t="s">
        <v>28</v>
      </c>
      <c r="T100" s="1" t="s">
        <v>28</v>
      </c>
      <c r="U100" s="1" t="s">
        <v>4062</v>
      </c>
      <c r="V100" s="1" t="s">
        <v>28</v>
      </c>
      <c r="W100" s="1" t="s">
        <v>28</v>
      </c>
      <c r="X100" s="1" t="s">
        <v>28</v>
      </c>
      <c r="Z100" s="1" t="s">
        <v>4061</v>
      </c>
      <c r="AA100" s="1" t="s">
        <v>28</v>
      </c>
      <c r="AB100" s="1" t="s">
        <v>28</v>
      </c>
      <c r="AC100" s="1" t="s">
        <v>2242</v>
      </c>
      <c r="AD100" s="1" t="s">
        <v>34</v>
      </c>
      <c r="AE100" s="1" t="s">
        <v>35</v>
      </c>
      <c r="AF100" s="1" t="s">
        <v>4059</v>
      </c>
      <c r="AG100" s="1" t="s">
        <v>36</v>
      </c>
      <c r="AH100" s="1" t="s">
        <v>942</v>
      </c>
    </row>
    <row r="101" spans="1:34" ht="43.5" x14ac:dyDescent="0.35">
      <c r="A101" s="1">
        <v>3</v>
      </c>
      <c r="B101" s="1" t="s">
        <v>2149</v>
      </c>
      <c r="C101" s="1" t="s">
        <v>972</v>
      </c>
      <c r="D101" s="1" t="s">
        <v>973</v>
      </c>
      <c r="E101" s="4" t="s">
        <v>974</v>
      </c>
      <c r="F101">
        <v>2012</v>
      </c>
      <c r="G101" s="1" t="s">
        <v>975</v>
      </c>
      <c r="H101" s="1" t="s">
        <v>976</v>
      </c>
      <c r="I101" s="1" t="s">
        <v>65</v>
      </c>
      <c r="J101" s="1" t="s">
        <v>28</v>
      </c>
      <c r="K101">
        <v>186</v>
      </c>
      <c r="L101">
        <v>194</v>
      </c>
      <c r="N101">
        <v>31</v>
      </c>
      <c r="O101" s="1" t="s">
        <v>977</v>
      </c>
      <c r="P101" s="1" t="s">
        <v>978</v>
      </c>
      <c r="Q101" s="1" t="s">
        <v>979</v>
      </c>
      <c r="R101" s="1" t="s">
        <v>980</v>
      </c>
      <c r="S101" s="1" t="s">
        <v>981</v>
      </c>
      <c r="T101" s="1" t="s">
        <v>28</v>
      </c>
      <c r="U101" s="1" t="s">
        <v>28</v>
      </c>
      <c r="V101" s="1" t="s">
        <v>28</v>
      </c>
      <c r="W101" s="1" t="s">
        <v>28</v>
      </c>
      <c r="X101" s="1" t="s">
        <v>28</v>
      </c>
      <c r="Z101" s="1" t="s">
        <v>4052</v>
      </c>
      <c r="AA101" s="1" t="s">
        <v>28</v>
      </c>
      <c r="AB101" s="1" t="s">
        <v>4051</v>
      </c>
      <c r="AC101" s="1" t="s">
        <v>2242</v>
      </c>
      <c r="AD101" s="1" t="s">
        <v>34</v>
      </c>
      <c r="AE101" s="1" t="s">
        <v>35</v>
      </c>
      <c r="AF101" s="1" t="s">
        <v>28</v>
      </c>
      <c r="AG101" s="1" t="s">
        <v>36</v>
      </c>
      <c r="AH101" s="1" t="s">
        <v>982</v>
      </c>
    </row>
    <row r="102" spans="1:34" ht="43.5" x14ac:dyDescent="0.35">
      <c r="A102" s="1">
        <v>4</v>
      </c>
      <c r="B102" s="1" t="s">
        <v>4535</v>
      </c>
      <c r="C102" s="1" t="s">
        <v>962</v>
      </c>
      <c r="D102" s="1" t="s">
        <v>963</v>
      </c>
      <c r="E102" s="4" t="s">
        <v>964</v>
      </c>
      <c r="F102">
        <v>2012</v>
      </c>
      <c r="G102" s="1" t="s">
        <v>965</v>
      </c>
      <c r="H102" s="1" t="s">
        <v>28</v>
      </c>
      <c r="I102" s="1" t="s">
        <v>28</v>
      </c>
      <c r="J102" s="1" t="s">
        <v>28</v>
      </c>
      <c r="K102">
        <v>2222</v>
      </c>
      <c r="L102">
        <v>2231</v>
      </c>
      <c r="N102">
        <v>3</v>
      </c>
      <c r="O102" s="1" t="s">
        <v>966</v>
      </c>
      <c r="P102" s="1" t="s">
        <v>967</v>
      </c>
      <c r="Q102" s="1" t="s">
        <v>968</v>
      </c>
      <c r="R102" s="1" t="s">
        <v>969</v>
      </c>
      <c r="S102" s="1" t="s">
        <v>970</v>
      </c>
      <c r="T102" s="1" t="s">
        <v>4057</v>
      </c>
      <c r="U102" s="1" t="s">
        <v>28</v>
      </c>
      <c r="V102" s="1" t="s">
        <v>4056</v>
      </c>
      <c r="W102" s="1" t="s">
        <v>4055</v>
      </c>
      <c r="X102" s="1" t="s">
        <v>4054</v>
      </c>
      <c r="Y102">
        <v>92565</v>
      </c>
      <c r="Z102" s="1" t="s">
        <v>28</v>
      </c>
      <c r="AA102" s="1" t="s">
        <v>4053</v>
      </c>
      <c r="AB102" s="1" t="s">
        <v>28</v>
      </c>
      <c r="AC102" s="1" t="s">
        <v>2242</v>
      </c>
      <c r="AD102" s="1" t="s">
        <v>176</v>
      </c>
      <c r="AE102" s="1" t="s">
        <v>35</v>
      </c>
      <c r="AF102" s="1" t="s">
        <v>28</v>
      </c>
      <c r="AG102" s="1" t="s">
        <v>36</v>
      </c>
      <c r="AH102" s="1" t="s">
        <v>971</v>
      </c>
    </row>
    <row r="103" spans="1:34" ht="43.5" x14ac:dyDescent="0.35">
      <c r="A103" s="1">
        <v>4</v>
      </c>
      <c r="B103" s="1" t="s">
        <v>4535</v>
      </c>
      <c r="C103" s="1" t="s">
        <v>983</v>
      </c>
      <c r="D103" s="1" t="s">
        <v>984</v>
      </c>
      <c r="E103" s="4" t="s">
        <v>985</v>
      </c>
      <c r="F103">
        <v>2012</v>
      </c>
      <c r="G103" s="1" t="s">
        <v>986</v>
      </c>
      <c r="H103" s="1" t="s">
        <v>28</v>
      </c>
      <c r="I103" s="1" t="s">
        <v>987</v>
      </c>
      <c r="J103" s="1" t="s">
        <v>28</v>
      </c>
      <c r="K103">
        <v>107</v>
      </c>
      <c r="L103">
        <v>128</v>
      </c>
      <c r="N103">
        <v>6</v>
      </c>
      <c r="O103" s="1" t="s">
        <v>988</v>
      </c>
      <c r="P103" s="1" t="s">
        <v>989</v>
      </c>
      <c r="Q103" s="1" t="s">
        <v>990</v>
      </c>
      <c r="R103" s="1" t="s">
        <v>991</v>
      </c>
      <c r="S103" s="1" t="s">
        <v>992</v>
      </c>
      <c r="T103" s="1" t="s">
        <v>28</v>
      </c>
      <c r="U103" s="1" t="s">
        <v>4050</v>
      </c>
      <c r="V103" s="1" t="s">
        <v>28</v>
      </c>
      <c r="W103" s="1" t="s">
        <v>28</v>
      </c>
      <c r="X103" s="1" t="s">
        <v>28</v>
      </c>
      <c r="Z103" s="1" t="s">
        <v>4049</v>
      </c>
      <c r="AA103" s="1" t="s">
        <v>28</v>
      </c>
      <c r="AB103" s="1" t="s">
        <v>28</v>
      </c>
      <c r="AC103" s="1" t="s">
        <v>2242</v>
      </c>
      <c r="AD103" s="1" t="s">
        <v>662</v>
      </c>
      <c r="AE103" s="1" t="s">
        <v>35</v>
      </c>
      <c r="AF103" s="1" t="s">
        <v>28</v>
      </c>
      <c r="AG103" s="1" t="s">
        <v>36</v>
      </c>
      <c r="AH103" s="1" t="s">
        <v>993</v>
      </c>
    </row>
    <row r="104" spans="1:34" ht="58" x14ac:dyDescent="0.35">
      <c r="A104" s="1">
        <v>4</v>
      </c>
      <c r="B104" s="1" t="s">
        <v>4535</v>
      </c>
      <c r="C104" s="1" t="s">
        <v>1024</v>
      </c>
      <c r="D104" s="1" t="s">
        <v>1025</v>
      </c>
      <c r="E104" s="4" t="s">
        <v>1026</v>
      </c>
      <c r="F104">
        <v>2011</v>
      </c>
      <c r="G104" s="1" t="s">
        <v>1027</v>
      </c>
      <c r="H104" s="1" t="s">
        <v>28</v>
      </c>
      <c r="I104" s="1" t="s">
        <v>28</v>
      </c>
      <c r="J104" s="1" t="s">
        <v>28</v>
      </c>
      <c r="K104">
        <v>2840</v>
      </c>
      <c r="L104">
        <v>2843</v>
      </c>
      <c r="N104">
        <v>3</v>
      </c>
      <c r="O104" s="1" t="s">
        <v>1028</v>
      </c>
      <c r="P104" s="1" t="s">
        <v>1029</v>
      </c>
      <c r="Q104" s="1" t="s">
        <v>1030</v>
      </c>
      <c r="R104" s="1" t="s">
        <v>1031</v>
      </c>
      <c r="S104" s="1" t="s">
        <v>1032</v>
      </c>
      <c r="T104" s="1" t="s">
        <v>4025</v>
      </c>
      <c r="U104" s="1" t="s">
        <v>28</v>
      </c>
      <c r="V104" s="1" t="s">
        <v>4033</v>
      </c>
      <c r="W104" s="1" t="s">
        <v>4032</v>
      </c>
      <c r="X104" s="1" t="s">
        <v>4031</v>
      </c>
      <c r="Y104">
        <v>85504</v>
      </c>
      <c r="Z104" s="1" t="s">
        <v>28</v>
      </c>
      <c r="AA104" s="1" t="s">
        <v>4030</v>
      </c>
      <c r="AB104" s="1" t="s">
        <v>28</v>
      </c>
      <c r="AC104" s="1" t="s">
        <v>2242</v>
      </c>
      <c r="AD104" s="1" t="s">
        <v>176</v>
      </c>
      <c r="AE104" s="1" t="s">
        <v>35</v>
      </c>
      <c r="AF104" s="1" t="s">
        <v>28</v>
      </c>
      <c r="AG104" s="1" t="s">
        <v>36</v>
      </c>
      <c r="AH104" s="1" t="s">
        <v>1033</v>
      </c>
    </row>
    <row r="105" spans="1:34" ht="43.5" x14ac:dyDescent="0.35">
      <c r="A105" s="1">
        <v>4</v>
      </c>
      <c r="B105" s="1" t="s">
        <v>4535</v>
      </c>
      <c r="C105" s="1" t="s">
        <v>1034</v>
      </c>
      <c r="D105" s="1" t="s">
        <v>1035</v>
      </c>
      <c r="E105" s="4" t="s">
        <v>1036</v>
      </c>
      <c r="F105">
        <v>2011</v>
      </c>
      <c r="G105" s="1" t="s">
        <v>1027</v>
      </c>
      <c r="H105" s="1" t="s">
        <v>28</v>
      </c>
      <c r="I105" s="1" t="s">
        <v>28</v>
      </c>
      <c r="J105" s="1" t="s">
        <v>28</v>
      </c>
      <c r="K105">
        <v>2844</v>
      </c>
      <c r="L105">
        <v>2851</v>
      </c>
      <c r="N105">
        <v>7</v>
      </c>
      <c r="O105" s="1" t="s">
        <v>1037</v>
      </c>
      <c r="P105" s="1" t="s">
        <v>1038</v>
      </c>
      <c r="Q105" s="1" t="s">
        <v>1039</v>
      </c>
      <c r="R105" s="1" t="s">
        <v>1040</v>
      </c>
      <c r="S105" s="1" t="s">
        <v>1041</v>
      </c>
      <c r="T105" s="1" t="s">
        <v>4025</v>
      </c>
      <c r="U105" s="1" t="s">
        <v>28</v>
      </c>
      <c r="V105" s="1" t="s">
        <v>4033</v>
      </c>
      <c r="W105" s="1" t="s">
        <v>4032</v>
      </c>
      <c r="X105" s="1" t="s">
        <v>4031</v>
      </c>
      <c r="Y105">
        <v>85504</v>
      </c>
      <c r="Z105" s="1" t="s">
        <v>28</v>
      </c>
      <c r="AA105" s="1" t="s">
        <v>4030</v>
      </c>
      <c r="AB105" s="1" t="s">
        <v>28</v>
      </c>
      <c r="AC105" s="1" t="s">
        <v>2242</v>
      </c>
      <c r="AD105" s="1" t="s">
        <v>176</v>
      </c>
      <c r="AE105" s="1" t="s">
        <v>35</v>
      </c>
      <c r="AF105" s="1" t="s">
        <v>28</v>
      </c>
      <c r="AG105" s="1" t="s">
        <v>36</v>
      </c>
      <c r="AH105" s="1" t="s">
        <v>1042</v>
      </c>
    </row>
    <row r="106" spans="1:34" ht="29" x14ac:dyDescent="0.35">
      <c r="A106" s="1">
        <v>0</v>
      </c>
      <c r="B106" s="1" t="s">
        <v>4532</v>
      </c>
      <c r="C106" s="1" t="s">
        <v>85</v>
      </c>
      <c r="D106" s="1" t="s">
        <v>86</v>
      </c>
      <c r="E106" s="4" t="s">
        <v>87</v>
      </c>
      <c r="F106">
        <v>2021</v>
      </c>
      <c r="G106" s="1" t="s">
        <v>88</v>
      </c>
      <c r="H106" s="1" t="s">
        <v>89</v>
      </c>
      <c r="I106" s="1" t="s">
        <v>64</v>
      </c>
      <c r="J106" s="1" t="s">
        <v>90</v>
      </c>
      <c r="O106" s="1" t="s">
        <v>91</v>
      </c>
      <c r="P106" s="1" t="s">
        <v>92</v>
      </c>
      <c r="Q106" s="1" t="s">
        <v>93</v>
      </c>
      <c r="R106" s="1" t="s">
        <v>94</v>
      </c>
      <c r="S106" s="1" t="s">
        <v>95</v>
      </c>
      <c r="T106" s="1" t="s">
        <v>28</v>
      </c>
      <c r="U106" s="1" t="s">
        <v>4067</v>
      </c>
      <c r="V106" s="1" t="s">
        <v>28</v>
      </c>
      <c r="W106" s="1" t="s">
        <v>28</v>
      </c>
      <c r="X106" s="1" t="s">
        <v>28</v>
      </c>
      <c r="Z106" s="1" t="s">
        <v>4069</v>
      </c>
      <c r="AA106" s="1" t="s">
        <v>28</v>
      </c>
      <c r="AB106" s="1" t="s">
        <v>28</v>
      </c>
      <c r="AC106" s="1" t="s">
        <v>2242</v>
      </c>
      <c r="AD106" s="1" t="s">
        <v>34</v>
      </c>
      <c r="AE106" s="1" t="s">
        <v>35</v>
      </c>
      <c r="AF106" s="1" t="s">
        <v>28</v>
      </c>
      <c r="AG106" s="1" t="s">
        <v>36</v>
      </c>
      <c r="AH106" s="1" t="s">
        <v>96</v>
      </c>
    </row>
    <row r="107" spans="1:34" ht="58" x14ac:dyDescent="0.35">
      <c r="A107" s="1">
        <v>3</v>
      </c>
      <c r="B107" s="1" t="s">
        <v>2149</v>
      </c>
      <c r="C107" s="1" t="s">
        <v>1004</v>
      </c>
      <c r="D107" s="1" t="s">
        <v>1005</v>
      </c>
      <c r="E107" s="4" t="s">
        <v>1006</v>
      </c>
      <c r="F107">
        <v>2011</v>
      </c>
      <c r="G107" s="1" t="s">
        <v>1007</v>
      </c>
      <c r="H107" s="1" t="s">
        <v>1008</v>
      </c>
      <c r="I107" s="1" t="s">
        <v>28</v>
      </c>
      <c r="J107" s="1" t="s">
        <v>28</v>
      </c>
      <c r="K107">
        <v>208</v>
      </c>
      <c r="L107">
        <v>214</v>
      </c>
      <c r="O107" s="1" t="s">
        <v>1009</v>
      </c>
      <c r="P107" s="1" t="s">
        <v>1010</v>
      </c>
      <c r="Q107" s="1" t="s">
        <v>1011</v>
      </c>
      <c r="R107" s="1" t="s">
        <v>28</v>
      </c>
      <c r="S107" s="1" t="s">
        <v>1012</v>
      </c>
      <c r="T107" s="1" t="s">
        <v>28</v>
      </c>
      <c r="U107" s="1" t="s">
        <v>28</v>
      </c>
      <c r="V107" s="1" t="s">
        <v>4043</v>
      </c>
      <c r="W107" s="1" t="s">
        <v>4042</v>
      </c>
      <c r="X107" s="1" t="s">
        <v>4041</v>
      </c>
      <c r="Y107">
        <v>98880</v>
      </c>
      <c r="Z107" s="1" t="s">
        <v>4040</v>
      </c>
      <c r="AA107" s="1" t="s">
        <v>4039</v>
      </c>
      <c r="AB107" s="1" t="s">
        <v>28</v>
      </c>
      <c r="AC107" s="1" t="s">
        <v>2242</v>
      </c>
      <c r="AD107" s="1" t="s">
        <v>176</v>
      </c>
      <c r="AE107" s="1" t="s">
        <v>35</v>
      </c>
      <c r="AF107" s="1" t="s">
        <v>3970</v>
      </c>
      <c r="AG107" s="1" t="s">
        <v>36</v>
      </c>
      <c r="AH107" s="1" t="s">
        <v>1013</v>
      </c>
    </row>
    <row r="108" spans="1:34" ht="29" x14ac:dyDescent="0.35">
      <c r="A108" s="1">
        <v>3</v>
      </c>
      <c r="B108" s="1" t="s">
        <v>2149</v>
      </c>
      <c r="C108" s="1" t="s">
        <v>994</v>
      </c>
      <c r="D108" s="1" t="s">
        <v>995</v>
      </c>
      <c r="E108" s="4" t="s">
        <v>996</v>
      </c>
      <c r="F108">
        <v>2011</v>
      </c>
      <c r="G108" s="1" t="s">
        <v>321</v>
      </c>
      <c r="H108" s="1" t="s">
        <v>28</v>
      </c>
      <c r="I108" s="1" t="s">
        <v>28</v>
      </c>
      <c r="J108" s="1" t="s">
        <v>997</v>
      </c>
      <c r="N108">
        <v>21</v>
      </c>
      <c r="O108" s="1" t="s">
        <v>998</v>
      </c>
      <c r="P108" s="1" t="s">
        <v>999</v>
      </c>
      <c r="Q108" s="1" t="s">
        <v>1000</v>
      </c>
      <c r="R108" s="1" t="s">
        <v>1001</v>
      </c>
      <c r="S108" s="1" t="s">
        <v>1002</v>
      </c>
      <c r="T108" s="1" t="s">
        <v>28</v>
      </c>
      <c r="U108" s="1" t="s">
        <v>28</v>
      </c>
      <c r="V108" s="1" t="s">
        <v>4048</v>
      </c>
      <c r="W108" s="1" t="s">
        <v>4047</v>
      </c>
      <c r="X108" s="1" t="s">
        <v>4046</v>
      </c>
      <c r="Y108">
        <v>87497</v>
      </c>
      <c r="Z108" s="1" t="s">
        <v>4045</v>
      </c>
      <c r="AA108" s="1" t="s">
        <v>4044</v>
      </c>
      <c r="AB108" s="1" t="s">
        <v>28</v>
      </c>
      <c r="AC108" s="1" t="s">
        <v>2242</v>
      </c>
      <c r="AD108" s="1" t="s">
        <v>176</v>
      </c>
      <c r="AE108" s="1" t="s">
        <v>35</v>
      </c>
      <c r="AF108" s="1" t="s">
        <v>28</v>
      </c>
      <c r="AG108" s="1" t="s">
        <v>36</v>
      </c>
      <c r="AH108" s="1" t="s">
        <v>1003</v>
      </c>
    </row>
    <row r="109" spans="1:34" ht="87" x14ac:dyDescent="0.35">
      <c r="A109" s="1">
        <v>0</v>
      </c>
      <c r="B109" s="1" t="s">
        <v>4532</v>
      </c>
      <c r="C109" s="1" t="s">
        <v>4276</v>
      </c>
      <c r="D109" s="1" t="s">
        <v>4275</v>
      </c>
      <c r="E109" s="4" t="s">
        <v>2718</v>
      </c>
      <c r="F109">
        <v>2022</v>
      </c>
      <c r="G109" s="1" t="s">
        <v>4274</v>
      </c>
      <c r="H109" s="1" t="s">
        <v>28</v>
      </c>
      <c r="I109" s="1" t="s">
        <v>28</v>
      </c>
      <c r="J109" s="1" t="s">
        <v>28</v>
      </c>
      <c r="O109" s="1" t="s">
        <v>2735</v>
      </c>
      <c r="P109" s="1" t="s">
        <v>4273</v>
      </c>
      <c r="Q109" s="4" t="s">
        <v>4272</v>
      </c>
      <c r="R109" s="1" t="s">
        <v>4271</v>
      </c>
      <c r="S109" s="1" t="s">
        <v>4270</v>
      </c>
      <c r="T109" s="1" t="s">
        <v>28</v>
      </c>
      <c r="U109" s="1" t="s">
        <v>4269</v>
      </c>
      <c r="V109" s="1" t="s">
        <v>28</v>
      </c>
      <c r="W109" s="1" t="s">
        <v>28</v>
      </c>
      <c r="X109" s="1" t="s">
        <v>28</v>
      </c>
      <c r="Z109" s="1" t="s">
        <v>4268</v>
      </c>
      <c r="AA109" s="1" t="s">
        <v>28</v>
      </c>
      <c r="AB109" s="1" t="s">
        <v>4267</v>
      </c>
      <c r="AC109" s="1" t="s">
        <v>2242</v>
      </c>
      <c r="AD109" s="1" t="s">
        <v>34</v>
      </c>
      <c r="AE109" s="1" t="s">
        <v>4258</v>
      </c>
      <c r="AF109" s="1" t="s">
        <v>28</v>
      </c>
      <c r="AG109" s="1" t="s">
        <v>36</v>
      </c>
      <c r="AH109" s="1" t="s">
        <v>4266</v>
      </c>
    </row>
    <row r="110" spans="1:34" ht="145" x14ac:dyDescent="0.35">
      <c r="A110" s="1">
        <v>3</v>
      </c>
      <c r="B110" s="1" t="s">
        <v>2149</v>
      </c>
      <c r="C110" s="1" t="s">
        <v>1053</v>
      </c>
      <c r="D110" s="1" t="s">
        <v>1054</v>
      </c>
      <c r="E110" s="4" t="s">
        <v>1055</v>
      </c>
      <c r="F110">
        <v>2010</v>
      </c>
      <c r="G110" s="1" t="s">
        <v>1056</v>
      </c>
      <c r="H110" s="1" t="s">
        <v>1057</v>
      </c>
      <c r="I110" s="1" t="s">
        <v>65</v>
      </c>
      <c r="J110" s="1" t="s">
        <v>28</v>
      </c>
      <c r="K110">
        <v>145</v>
      </c>
      <c r="L110">
        <v>150</v>
      </c>
      <c r="N110">
        <v>1</v>
      </c>
      <c r="O110" s="1" t="s">
        <v>28</v>
      </c>
      <c r="P110" s="1" t="s">
        <v>1058</v>
      </c>
      <c r="Q110" s="1" t="s">
        <v>1059</v>
      </c>
      <c r="R110" s="1" t="s">
        <v>28</v>
      </c>
      <c r="S110" s="1" t="s">
        <v>1060</v>
      </c>
      <c r="T110" s="1" t="s">
        <v>28</v>
      </c>
      <c r="U110" s="1" t="s">
        <v>28</v>
      </c>
      <c r="V110" s="1" t="s">
        <v>28</v>
      </c>
      <c r="W110" s="1" t="s">
        <v>28</v>
      </c>
      <c r="X110" s="1" t="s">
        <v>28</v>
      </c>
      <c r="Z110" s="1" t="s">
        <v>4027</v>
      </c>
      <c r="AA110" s="1" t="s">
        <v>28</v>
      </c>
      <c r="AB110" s="1" t="s">
        <v>28</v>
      </c>
      <c r="AC110" s="1" t="s">
        <v>4026</v>
      </c>
      <c r="AD110" s="1" t="s">
        <v>34</v>
      </c>
      <c r="AE110" s="1" t="s">
        <v>35</v>
      </c>
      <c r="AF110" s="1" t="s">
        <v>28</v>
      </c>
      <c r="AG110" s="1" t="s">
        <v>36</v>
      </c>
      <c r="AH110" s="1" t="s">
        <v>1061</v>
      </c>
    </row>
    <row r="111" spans="1:34" ht="43.5" x14ac:dyDescent="0.35">
      <c r="A111" s="1">
        <v>4</v>
      </c>
      <c r="B111" s="1" t="s">
        <v>4535</v>
      </c>
      <c r="C111" s="1" t="s">
        <v>1034</v>
      </c>
      <c r="D111" s="1" t="s">
        <v>1035</v>
      </c>
      <c r="E111" s="4" t="s">
        <v>1062</v>
      </c>
      <c r="F111">
        <v>2010</v>
      </c>
      <c r="G111" s="1" t="s">
        <v>1063</v>
      </c>
      <c r="H111" s="1" t="s">
        <v>28</v>
      </c>
      <c r="I111" s="1" t="s">
        <v>28</v>
      </c>
      <c r="J111" s="1" t="s">
        <v>28</v>
      </c>
      <c r="K111">
        <v>2543</v>
      </c>
      <c r="L111">
        <v>2549</v>
      </c>
      <c r="N111">
        <v>8</v>
      </c>
      <c r="O111" s="1" t="s">
        <v>1064</v>
      </c>
      <c r="P111" s="1" t="s">
        <v>1065</v>
      </c>
      <c r="Q111" s="1" t="s">
        <v>1066</v>
      </c>
      <c r="R111" s="1" t="s">
        <v>1067</v>
      </c>
      <c r="S111" s="1" t="s">
        <v>1068</v>
      </c>
      <c r="T111" s="1" t="s">
        <v>4025</v>
      </c>
      <c r="U111" s="1" t="s">
        <v>28</v>
      </c>
      <c r="V111" s="1" t="s">
        <v>4024</v>
      </c>
      <c r="W111" s="1" t="s">
        <v>4023</v>
      </c>
      <c r="X111" s="1" t="s">
        <v>4022</v>
      </c>
      <c r="Y111">
        <v>81213</v>
      </c>
      <c r="Z111" s="1" t="s">
        <v>28</v>
      </c>
      <c r="AA111" s="1" t="s">
        <v>4021</v>
      </c>
      <c r="AB111" s="1" t="s">
        <v>28</v>
      </c>
      <c r="AC111" s="1" t="s">
        <v>2242</v>
      </c>
      <c r="AD111" s="1" t="s">
        <v>176</v>
      </c>
      <c r="AE111" s="1" t="s">
        <v>35</v>
      </c>
      <c r="AF111" s="1" t="s">
        <v>28</v>
      </c>
      <c r="AG111" s="1" t="s">
        <v>36</v>
      </c>
      <c r="AH111" s="1" t="s">
        <v>1069</v>
      </c>
    </row>
    <row r="112" spans="1:34" ht="43.5" x14ac:dyDescent="0.35">
      <c r="A112" s="1">
        <v>0</v>
      </c>
      <c r="B112" s="1" t="s">
        <v>4532</v>
      </c>
      <c r="C112" s="1" t="s">
        <v>277</v>
      </c>
      <c r="D112" s="1" t="s">
        <v>278</v>
      </c>
      <c r="E112" s="4" t="s">
        <v>279</v>
      </c>
      <c r="F112">
        <v>2020</v>
      </c>
      <c r="G112" s="1" t="s">
        <v>280</v>
      </c>
      <c r="H112" s="1" t="s">
        <v>281</v>
      </c>
      <c r="I112" s="1" t="s">
        <v>113</v>
      </c>
      <c r="J112" s="1" t="s">
        <v>28</v>
      </c>
      <c r="K112">
        <v>122</v>
      </c>
      <c r="L112">
        <v>132</v>
      </c>
      <c r="O112" s="1" t="s">
        <v>282</v>
      </c>
      <c r="P112" s="1" t="s">
        <v>283</v>
      </c>
      <c r="Q112" s="1" t="s">
        <v>284</v>
      </c>
      <c r="R112" s="1" t="s">
        <v>28</v>
      </c>
      <c r="S112" s="1" t="s">
        <v>285</v>
      </c>
      <c r="T112" s="1" t="s">
        <v>28</v>
      </c>
      <c r="U112" s="1" t="s">
        <v>4225</v>
      </c>
      <c r="V112" s="1" t="s">
        <v>28</v>
      </c>
      <c r="W112" s="1" t="s">
        <v>28</v>
      </c>
      <c r="X112" s="1" t="s">
        <v>28</v>
      </c>
      <c r="Z112" s="1" t="s">
        <v>4224</v>
      </c>
      <c r="AA112" s="1" t="s">
        <v>28</v>
      </c>
      <c r="AB112" s="1" t="s">
        <v>28</v>
      </c>
      <c r="AC112" s="1" t="s">
        <v>2242</v>
      </c>
      <c r="AD112" s="1" t="s">
        <v>34</v>
      </c>
      <c r="AE112" s="1" t="s">
        <v>35</v>
      </c>
      <c r="AF112" s="1" t="s">
        <v>4223</v>
      </c>
      <c r="AG112" s="1" t="s">
        <v>36</v>
      </c>
      <c r="AH112" s="1" t="s">
        <v>286</v>
      </c>
    </row>
    <row r="113" spans="1:34" ht="57.5" customHeight="1" x14ac:dyDescent="0.35">
      <c r="A113" s="1">
        <v>0</v>
      </c>
      <c r="B113" s="1" t="s">
        <v>4532</v>
      </c>
      <c r="C113" s="1" t="s">
        <v>1014</v>
      </c>
      <c r="D113" s="1" t="s">
        <v>1015</v>
      </c>
      <c r="E113" s="4" t="s">
        <v>1016</v>
      </c>
      <c r="F113">
        <v>2011</v>
      </c>
      <c r="G113" s="1" t="s">
        <v>1017</v>
      </c>
      <c r="H113" s="1" t="s">
        <v>28</v>
      </c>
      <c r="I113" s="1" t="s">
        <v>28</v>
      </c>
      <c r="J113" s="1" t="s">
        <v>28</v>
      </c>
      <c r="K113">
        <v>543</v>
      </c>
      <c r="L113">
        <v>550</v>
      </c>
      <c r="N113">
        <v>12</v>
      </c>
      <c r="O113" s="1" t="s">
        <v>1018</v>
      </c>
      <c r="P113" s="1" t="s">
        <v>1019</v>
      </c>
      <c r="Q113" s="1" t="s">
        <v>1020</v>
      </c>
      <c r="R113" s="1" t="s">
        <v>1021</v>
      </c>
      <c r="S113" s="1" t="s">
        <v>1022</v>
      </c>
      <c r="T113" s="1" t="s">
        <v>4038</v>
      </c>
      <c r="U113" s="1" t="s">
        <v>28</v>
      </c>
      <c r="V113" s="1" t="s">
        <v>4037</v>
      </c>
      <c r="W113" s="1" t="s">
        <v>4036</v>
      </c>
      <c r="X113" s="1" t="s">
        <v>4035</v>
      </c>
      <c r="Y113">
        <v>86136</v>
      </c>
      <c r="Z113" s="1" t="s">
        <v>28</v>
      </c>
      <c r="AA113" s="1" t="s">
        <v>4034</v>
      </c>
      <c r="AB113" s="1" t="s">
        <v>28</v>
      </c>
      <c r="AC113" s="1" t="s">
        <v>2242</v>
      </c>
      <c r="AD113" s="1" t="s">
        <v>176</v>
      </c>
      <c r="AE113" s="1" t="s">
        <v>35</v>
      </c>
      <c r="AF113" s="1" t="s">
        <v>28</v>
      </c>
      <c r="AG113" s="1" t="s">
        <v>36</v>
      </c>
      <c r="AH113" s="1" t="s">
        <v>1023</v>
      </c>
    </row>
    <row r="114" spans="1:34" ht="29" x14ac:dyDescent="0.35">
      <c r="A114" s="1">
        <v>3</v>
      </c>
      <c r="B114" s="1" t="s">
        <v>2149</v>
      </c>
      <c r="C114" s="1" t="s">
        <v>1121</v>
      </c>
      <c r="D114" s="1" t="s">
        <v>1122</v>
      </c>
      <c r="E114" s="4" t="s">
        <v>1123</v>
      </c>
      <c r="F114">
        <v>2008</v>
      </c>
      <c r="G114" s="1" t="s">
        <v>1124</v>
      </c>
      <c r="H114" s="1" t="s">
        <v>573</v>
      </c>
      <c r="I114" s="1" t="s">
        <v>28</v>
      </c>
      <c r="J114" s="1" t="s">
        <v>28</v>
      </c>
      <c r="K114">
        <v>59</v>
      </c>
      <c r="L114">
        <v>68</v>
      </c>
      <c r="N114">
        <v>40</v>
      </c>
      <c r="O114" s="1" t="s">
        <v>1125</v>
      </c>
      <c r="P114" s="1" t="s">
        <v>1126</v>
      </c>
      <c r="Q114" s="1" t="s">
        <v>1127</v>
      </c>
      <c r="R114" s="1" t="s">
        <v>1128</v>
      </c>
      <c r="S114" s="1" t="s">
        <v>1129</v>
      </c>
      <c r="T114" s="1" t="s">
        <v>28</v>
      </c>
      <c r="U114" s="1" t="s">
        <v>28</v>
      </c>
      <c r="V114" s="1" t="s">
        <v>28</v>
      </c>
      <c r="W114" s="1" t="s">
        <v>28</v>
      </c>
      <c r="X114" s="1" t="s">
        <v>28</v>
      </c>
      <c r="Z114" s="1" t="s">
        <v>4010</v>
      </c>
      <c r="AA114" s="1" t="s">
        <v>4009</v>
      </c>
      <c r="AB114" s="1" t="s">
        <v>28</v>
      </c>
      <c r="AC114" s="1" t="s">
        <v>2242</v>
      </c>
      <c r="AD114" s="1" t="s">
        <v>34</v>
      </c>
      <c r="AE114" s="1" t="s">
        <v>35</v>
      </c>
      <c r="AF114" s="1" t="s">
        <v>28</v>
      </c>
      <c r="AG114" s="1" t="s">
        <v>36</v>
      </c>
      <c r="AH114" s="1" t="s">
        <v>1130</v>
      </c>
    </row>
    <row r="115" spans="1:34" ht="58" x14ac:dyDescent="0.35">
      <c r="A115" s="1">
        <v>0</v>
      </c>
      <c r="B115" s="1" t="s">
        <v>4532</v>
      </c>
      <c r="C115" s="1" t="s">
        <v>1043</v>
      </c>
      <c r="D115" s="1" t="s">
        <v>1044</v>
      </c>
      <c r="E115" s="4" t="s">
        <v>1045</v>
      </c>
      <c r="F115">
        <v>2011</v>
      </c>
      <c r="G115" s="1" t="s">
        <v>1046</v>
      </c>
      <c r="H115" s="1" t="s">
        <v>227</v>
      </c>
      <c r="I115" s="1" t="s">
        <v>125</v>
      </c>
      <c r="J115" s="1" t="s">
        <v>28</v>
      </c>
      <c r="K115">
        <v>477</v>
      </c>
      <c r="L115">
        <v>498</v>
      </c>
      <c r="N115">
        <v>34</v>
      </c>
      <c r="O115" s="1" t="s">
        <v>1047</v>
      </c>
      <c r="P115" s="1" t="s">
        <v>1048</v>
      </c>
      <c r="Q115" s="1" t="s">
        <v>1049</v>
      </c>
      <c r="R115" s="1" t="s">
        <v>1050</v>
      </c>
      <c r="S115" s="1" t="s">
        <v>1051</v>
      </c>
      <c r="T115" s="1" t="s">
        <v>28</v>
      </c>
      <c r="U115" s="1" t="s">
        <v>28</v>
      </c>
      <c r="V115" s="1" t="s">
        <v>28</v>
      </c>
      <c r="W115" s="1" t="s">
        <v>28</v>
      </c>
      <c r="X115" s="1" t="s">
        <v>28</v>
      </c>
      <c r="Z115" s="1" t="s">
        <v>4029</v>
      </c>
      <c r="AA115" s="1" t="s">
        <v>28</v>
      </c>
      <c r="AB115" s="1" t="s">
        <v>4028</v>
      </c>
      <c r="AC115" s="1" t="s">
        <v>2242</v>
      </c>
      <c r="AD115" s="1" t="s">
        <v>34</v>
      </c>
      <c r="AE115" s="1" t="s">
        <v>35</v>
      </c>
      <c r="AF115" s="1" t="s">
        <v>28</v>
      </c>
      <c r="AG115" s="1" t="s">
        <v>36</v>
      </c>
      <c r="AH115" s="1" t="s">
        <v>1052</v>
      </c>
    </row>
    <row r="116" spans="1:34" ht="43.5" x14ac:dyDescent="0.35">
      <c r="A116" s="1">
        <v>0</v>
      </c>
      <c r="B116" s="1" t="s">
        <v>4532</v>
      </c>
      <c r="C116" s="1" t="s">
        <v>610</v>
      </c>
      <c r="D116" s="1" t="s">
        <v>611</v>
      </c>
      <c r="E116" s="4" t="s">
        <v>612</v>
      </c>
      <c r="F116">
        <v>2017</v>
      </c>
      <c r="G116" s="1" t="s">
        <v>613</v>
      </c>
      <c r="H116" s="1" t="s">
        <v>28</v>
      </c>
      <c r="I116" s="1" t="s">
        <v>28</v>
      </c>
      <c r="J116" s="1" t="s">
        <v>28</v>
      </c>
      <c r="O116" s="1" t="s">
        <v>28</v>
      </c>
      <c r="P116" s="1" t="s">
        <v>614</v>
      </c>
      <c r="Q116" s="1" t="s">
        <v>615</v>
      </c>
      <c r="R116" s="1" t="s">
        <v>616</v>
      </c>
      <c r="S116" s="1" t="s">
        <v>617</v>
      </c>
      <c r="T116" s="1" t="s">
        <v>4155</v>
      </c>
      <c r="U116" s="1" t="s">
        <v>4154</v>
      </c>
      <c r="V116" s="1" t="s">
        <v>4153</v>
      </c>
      <c r="W116" s="1" t="s">
        <v>4152</v>
      </c>
      <c r="X116" s="1" t="s">
        <v>28</v>
      </c>
      <c r="Y116">
        <v>161330</v>
      </c>
      <c r="Z116" s="1" t="s">
        <v>28</v>
      </c>
      <c r="AA116" s="1" t="s">
        <v>28</v>
      </c>
      <c r="AB116" s="1" t="s">
        <v>28</v>
      </c>
      <c r="AC116" s="1" t="s">
        <v>2242</v>
      </c>
      <c r="AD116" s="1" t="s">
        <v>176</v>
      </c>
      <c r="AE116" s="1" t="s">
        <v>35</v>
      </c>
      <c r="AF116" s="1" t="s">
        <v>28</v>
      </c>
      <c r="AG116" s="1" t="s">
        <v>36</v>
      </c>
      <c r="AH116" s="1" t="s">
        <v>618</v>
      </c>
    </row>
    <row r="117" spans="1:34" ht="58" x14ac:dyDescent="0.35">
      <c r="A117" s="1">
        <v>3</v>
      </c>
      <c r="B117" s="1" t="s">
        <v>2149</v>
      </c>
      <c r="C117" s="1" t="s">
        <v>1101</v>
      </c>
      <c r="D117" s="1" t="s">
        <v>1102</v>
      </c>
      <c r="E117" s="4" t="s">
        <v>1103</v>
      </c>
      <c r="F117">
        <v>2008</v>
      </c>
      <c r="G117" s="1" t="s">
        <v>1104</v>
      </c>
      <c r="H117" s="1" t="s">
        <v>1105</v>
      </c>
      <c r="I117" s="1" t="s">
        <v>125</v>
      </c>
      <c r="J117" s="1" t="s">
        <v>28</v>
      </c>
      <c r="K117">
        <v>498</v>
      </c>
      <c r="L117">
        <v>509</v>
      </c>
      <c r="N117">
        <v>114</v>
      </c>
      <c r="O117" s="1" t="s">
        <v>1106</v>
      </c>
      <c r="P117" s="1" t="s">
        <v>1107</v>
      </c>
      <c r="Q117" s="1" t="s">
        <v>1108</v>
      </c>
      <c r="R117" s="1" t="s">
        <v>1109</v>
      </c>
      <c r="S117" s="1" t="s">
        <v>1110</v>
      </c>
      <c r="T117" s="1" t="s">
        <v>28</v>
      </c>
      <c r="U117" s="1" t="s">
        <v>28</v>
      </c>
      <c r="V117" s="1" t="s">
        <v>28</v>
      </c>
      <c r="W117" s="1" t="s">
        <v>28</v>
      </c>
      <c r="X117" s="1" t="s">
        <v>28</v>
      </c>
      <c r="Z117" s="1" t="s">
        <v>4013</v>
      </c>
      <c r="AA117" s="1" t="s">
        <v>28</v>
      </c>
      <c r="AB117" s="1" t="s">
        <v>28</v>
      </c>
      <c r="AC117" s="1" t="s">
        <v>2242</v>
      </c>
      <c r="AD117" s="1" t="s">
        <v>34</v>
      </c>
      <c r="AE117" s="1" t="s">
        <v>35</v>
      </c>
      <c r="AF117" s="1" t="s">
        <v>28</v>
      </c>
      <c r="AG117" s="1" t="s">
        <v>36</v>
      </c>
      <c r="AH117" s="1" t="s">
        <v>1111</v>
      </c>
    </row>
    <row r="118" spans="1:34" ht="58" x14ac:dyDescent="0.35">
      <c r="A118" s="1">
        <v>3</v>
      </c>
      <c r="B118" s="1" t="s">
        <v>2149</v>
      </c>
      <c r="C118" s="1" t="s">
        <v>1131</v>
      </c>
      <c r="D118" s="1" t="s">
        <v>1132</v>
      </c>
      <c r="E118" s="4" t="s">
        <v>1133</v>
      </c>
      <c r="F118">
        <v>2008</v>
      </c>
      <c r="G118" s="1" t="s">
        <v>1134</v>
      </c>
      <c r="H118" s="1" t="s">
        <v>78</v>
      </c>
      <c r="I118" s="1" t="s">
        <v>78</v>
      </c>
      <c r="J118" s="1" t="s">
        <v>28</v>
      </c>
      <c r="K118">
        <v>31</v>
      </c>
      <c r="L118">
        <v>42</v>
      </c>
      <c r="N118">
        <v>34</v>
      </c>
      <c r="O118" s="1" t="s">
        <v>1135</v>
      </c>
      <c r="P118" s="1" t="s">
        <v>1136</v>
      </c>
      <c r="Q118" s="1" t="s">
        <v>1137</v>
      </c>
      <c r="R118" s="1" t="s">
        <v>1138</v>
      </c>
      <c r="S118" s="1" t="s">
        <v>1139</v>
      </c>
      <c r="T118" s="1" t="s">
        <v>28</v>
      </c>
      <c r="U118" s="1" t="s">
        <v>4008</v>
      </c>
      <c r="V118" s="1" t="s">
        <v>28</v>
      </c>
      <c r="W118" s="1" t="s">
        <v>28</v>
      </c>
      <c r="X118" s="1" t="s">
        <v>28</v>
      </c>
      <c r="Z118" s="1" t="s">
        <v>4007</v>
      </c>
      <c r="AA118" s="1" t="s">
        <v>28</v>
      </c>
      <c r="AB118" s="1" t="s">
        <v>28</v>
      </c>
      <c r="AC118" s="1" t="s">
        <v>2242</v>
      </c>
      <c r="AD118" s="1" t="s">
        <v>34</v>
      </c>
      <c r="AE118" s="1" t="s">
        <v>35</v>
      </c>
      <c r="AF118" s="1" t="s">
        <v>28</v>
      </c>
      <c r="AG118" s="1" t="s">
        <v>36</v>
      </c>
      <c r="AH118" s="1" t="s">
        <v>1140</v>
      </c>
    </row>
    <row r="119" spans="1:34" ht="43.5" x14ac:dyDescent="0.35">
      <c r="A119" s="1">
        <v>6</v>
      </c>
      <c r="B119" s="1" t="s">
        <v>4538</v>
      </c>
      <c r="C119" s="1" t="s">
        <v>1168</v>
      </c>
      <c r="D119" s="1" t="s">
        <v>1169</v>
      </c>
      <c r="E119" s="4" t="s">
        <v>1170</v>
      </c>
      <c r="F119">
        <v>2007</v>
      </c>
      <c r="G119" s="1" t="s">
        <v>866</v>
      </c>
      <c r="H119" s="1" t="s">
        <v>348</v>
      </c>
      <c r="I119" s="1" t="s">
        <v>78</v>
      </c>
      <c r="J119" s="1" t="s">
        <v>28</v>
      </c>
      <c r="K119">
        <v>129</v>
      </c>
      <c r="L119">
        <v>148</v>
      </c>
      <c r="N119">
        <v>98</v>
      </c>
      <c r="O119" s="1" t="s">
        <v>1171</v>
      </c>
      <c r="P119" s="1" t="s">
        <v>1172</v>
      </c>
      <c r="Q119" s="1" t="s">
        <v>1173</v>
      </c>
      <c r="R119" s="1" t="s">
        <v>1148</v>
      </c>
      <c r="S119" s="1" t="s">
        <v>1174</v>
      </c>
      <c r="T119" s="1" t="s">
        <v>28</v>
      </c>
      <c r="U119" s="1" t="s">
        <v>28</v>
      </c>
      <c r="V119" s="1" t="s">
        <v>28</v>
      </c>
      <c r="W119" s="1" t="s">
        <v>28</v>
      </c>
      <c r="X119" s="1" t="s">
        <v>28</v>
      </c>
      <c r="Z119" s="1" t="s">
        <v>3997</v>
      </c>
      <c r="AA119" s="1" t="s">
        <v>28</v>
      </c>
      <c r="AB119" s="1" t="s">
        <v>28</v>
      </c>
      <c r="AC119" s="1" t="s">
        <v>2242</v>
      </c>
      <c r="AD119" s="1" t="s">
        <v>176</v>
      </c>
      <c r="AE119" s="1" t="s">
        <v>35</v>
      </c>
      <c r="AF119" s="1" t="s">
        <v>28</v>
      </c>
      <c r="AG119" s="1" t="s">
        <v>36</v>
      </c>
      <c r="AH119" s="1" t="s">
        <v>1175</v>
      </c>
    </row>
    <row r="120" spans="1:34" ht="43.5" x14ac:dyDescent="0.35">
      <c r="A120" s="1">
        <v>1</v>
      </c>
      <c r="B120" s="1" t="s">
        <v>2148</v>
      </c>
      <c r="C120" s="1" t="s">
        <v>1141</v>
      </c>
      <c r="D120" s="1" t="s">
        <v>1142</v>
      </c>
      <c r="E120" s="4" t="s">
        <v>1143</v>
      </c>
      <c r="F120">
        <v>2007</v>
      </c>
      <c r="G120" s="1" t="s">
        <v>1144</v>
      </c>
      <c r="H120" s="1" t="s">
        <v>28</v>
      </c>
      <c r="I120" s="1" t="s">
        <v>28</v>
      </c>
      <c r="J120" s="1" t="s">
        <v>28</v>
      </c>
      <c r="K120">
        <v>129</v>
      </c>
      <c r="L120">
        <v>148</v>
      </c>
      <c r="N120">
        <v>27</v>
      </c>
      <c r="O120" s="1" t="s">
        <v>1145</v>
      </c>
      <c r="P120" s="1" t="s">
        <v>1146</v>
      </c>
      <c r="Q120" s="1" t="s">
        <v>1147</v>
      </c>
      <c r="R120" s="1" t="s">
        <v>1148</v>
      </c>
      <c r="S120" s="1" t="s">
        <v>1149</v>
      </c>
      <c r="T120" s="1" t="s">
        <v>28</v>
      </c>
      <c r="U120" s="1" t="s">
        <v>28</v>
      </c>
      <c r="V120" s="1" t="s">
        <v>4006</v>
      </c>
      <c r="W120" s="1" t="s">
        <v>4005</v>
      </c>
      <c r="X120" s="1" t="s">
        <v>4004</v>
      </c>
      <c r="Y120">
        <v>101356</v>
      </c>
      <c r="Z120" s="1" t="s">
        <v>28</v>
      </c>
      <c r="AA120" s="1" t="s">
        <v>4003</v>
      </c>
      <c r="AB120" s="1" t="s">
        <v>28</v>
      </c>
      <c r="AC120" s="1" t="s">
        <v>2242</v>
      </c>
      <c r="AD120" s="1" t="s">
        <v>176</v>
      </c>
      <c r="AE120" s="1" t="s">
        <v>35</v>
      </c>
      <c r="AF120" s="1" t="s">
        <v>28</v>
      </c>
      <c r="AG120" s="1" t="s">
        <v>36</v>
      </c>
      <c r="AH120" s="1" t="s">
        <v>1150</v>
      </c>
    </row>
    <row r="121" spans="1:34" ht="58" x14ac:dyDescent="0.35">
      <c r="A121" s="1">
        <v>4</v>
      </c>
      <c r="B121" s="1" t="s">
        <v>4535</v>
      </c>
      <c r="C121" s="1" t="s">
        <v>1158</v>
      </c>
      <c r="D121" s="1" t="s">
        <v>1159</v>
      </c>
      <c r="E121" s="4" t="s">
        <v>1160</v>
      </c>
      <c r="F121">
        <v>2007</v>
      </c>
      <c r="G121" s="1" t="s">
        <v>1161</v>
      </c>
      <c r="H121" s="1" t="s">
        <v>1162</v>
      </c>
      <c r="I121" s="1" t="s">
        <v>125</v>
      </c>
      <c r="J121" s="1" t="s">
        <v>28</v>
      </c>
      <c r="K121">
        <v>664</v>
      </c>
      <c r="L121">
        <v>686</v>
      </c>
      <c r="N121">
        <v>30</v>
      </c>
      <c r="O121" s="1" t="s">
        <v>1163</v>
      </c>
      <c r="P121" s="1" t="s">
        <v>1164</v>
      </c>
      <c r="Q121" s="1" t="s">
        <v>1165</v>
      </c>
      <c r="R121" s="1" t="s">
        <v>28</v>
      </c>
      <c r="S121" s="1" t="s">
        <v>1166</v>
      </c>
      <c r="T121" s="1" t="s">
        <v>28</v>
      </c>
      <c r="U121" s="1" t="s">
        <v>3999</v>
      </c>
      <c r="V121" s="1" t="s">
        <v>28</v>
      </c>
      <c r="W121" s="1" t="s">
        <v>28</v>
      </c>
      <c r="X121" s="1" t="s">
        <v>28</v>
      </c>
      <c r="Z121" s="1" t="s">
        <v>3998</v>
      </c>
      <c r="AA121" s="1" t="s">
        <v>28</v>
      </c>
      <c r="AB121" s="1" t="s">
        <v>28</v>
      </c>
      <c r="AC121" s="1" t="s">
        <v>2242</v>
      </c>
      <c r="AD121" s="1" t="s">
        <v>34</v>
      </c>
      <c r="AE121" s="1" t="s">
        <v>35</v>
      </c>
      <c r="AF121" s="1" t="s">
        <v>28</v>
      </c>
      <c r="AG121" s="1" t="s">
        <v>36</v>
      </c>
      <c r="AH121" s="1" t="s">
        <v>1167</v>
      </c>
    </row>
    <row r="122" spans="1:34" ht="29" x14ac:dyDescent="0.35">
      <c r="A122" s="1">
        <v>4</v>
      </c>
      <c r="B122" s="1" t="s">
        <v>4535</v>
      </c>
      <c r="C122" s="1" t="s">
        <v>1151</v>
      </c>
      <c r="D122" s="1" t="s">
        <v>1152</v>
      </c>
      <c r="E122" s="4" t="s">
        <v>1153</v>
      </c>
      <c r="F122">
        <v>2007</v>
      </c>
      <c r="G122" s="1" t="s">
        <v>532</v>
      </c>
      <c r="H122" s="1" t="s">
        <v>955</v>
      </c>
      <c r="I122" s="1" t="s">
        <v>65</v>
      </c>
      <c r="J122" s="1" t="s">
        <v>28</v>
      </c>
      <c r="K122">
        <v>273</v>
      </c>
      <c r="L122">
        <v>278</v>
      </c>
      <c r="N122">
        <v>5</v>
      </c>
      <c r="O122" s="1" t="s">
        <v>28</v>
      </c>
      <c r="P122" s="1" t="s">
        <v>1154</v>
      </c>
      <c r="Q122" s="1" t="s">
        <v>1155</v>
      </c>
      <c r="R122" s="1" t="s">
        <v>1156</v>
      </c>
      <c r="S122" s="1" t="s">
        <v>28</v>
      </c>
      <c r="T122" s="1" t="s">
        <v>28</v>
      </c>
      <c r="U122" s="1" t="s">
        <v>28</v>
      </c>
      <c r="V122" s="1" t="s">
        <v>28</v>
      </c>
      <c r="W122" s="1" t="s">
        <v>28</v>
      </c>
      <c r="X122" s="1" t="s">
        <v>28</v>
      </c>
      <c r="Z122" s="1" t="s">
        <v>4002</v>
      </c>
      <c r="AA122" s="1" t="s">
        <v>28</v>
      </c>
      <c r="AB122" s="1" t="s">
        <v>4001</v>
      </c>
      <c r="AC122" s="1" t="s">
        <v>4000</v>
      </c>
      <c r="AD122" s="1" t="s">
        <v>34</v>
      </c>
      <c r="AE122" s="1" t="s">
        <v>35</v>
      </c>
      <c r="AF122" s="1" t="s">
        <v>28</v>
      </c>
      <c r="AG122" s="1" t="s">
        <v>36</v>
      </c>
      <c r="AH122" s="1" t="s">
        <v>1157</v>
      </c>
    </row>
    <row r="123" spans="1:34" ht="29" x14ac:dyDescent="0.35">
      <c r="A123" s="1">
        <v>3</v>
      </c>
      <c r="B123" s="1" t="s">
        <v>2149</v>
      </c>
      <c r="C123" s="1" t="s">
        <v>1121</v>
      </c>
      <c r="D123" s="1" t="s">
        <v>1122</v>
      </c>
      <c r="E123" s="4" t="s">
        <v>1123</v>
      </c>
      <c r="F123">
        <v>2006</v>
      </c>
      <c r="G123" s="1" t="s">
        <v>1176</v>
      </c>
      <c r="H123" s="1" t="s">
        <v>1177</v>
      </c>
      <c r="I123" s="1" t="s">
        <v>28</v>
      </c>
      <c r="J123" s="1" t="s">
        <v>28</v>
      </c>
      <c r="K123">
        <v>3</v>
      </c>
      <c r="L123">
        <v>8</v>
      </c>
      <c r="N123">
        <v>22</v>
      </c>
      <c r="O123" s="1" t="s">
        <v>28</v>
      </c>
      <c r="P123" s="1" t="s">
        <v>1178</v>
      </c>
      <c r="Q123" s="1" t="s">
        <v>1179</v>
      </c>
      <c r="R123" s="1" t="s">
        <v>1180</v>
      </c>
      <c r="S123" s="1" t="s">
        <v>1181</v>
      </c>
      <c r="T123" s="1" t="s">
        <v>3996</v>
      </c>
      <c r="U123" s="1" t="s">
        <v>28</v>
      </c>
      <c r="V123" s="1" t="s">
        <v>3995</v>
      </c>
      <c r="W123" s="1" t="s">
        <v>3994</v>
      </c>
      <c r="X123" s="1" t="s">
        <v>3993</v>
      </c>
      <c r="Y123">
        <v>80787</v>
      </c>
      <c r="Z123" s="1" t="s">
        <v>28</v>
      </c>
      <c r="AA123" s="1" t="s">
        <v>3992</v>
      </c>
      <c r="AB123" s="1" t="s">
        <v>28</v>
      </c>
      <c r="AC123" s="1" t="s">
        <v>2242</v>
      </c>
      <c r="AD123" s="1" t="s">
        <v>176</v>
      </c>
      <c r="AE123" s="1" t="s">
        <v>35</v>
      </c>
      <c r="AF123" s="1" t="s">
        <v>28</v>
      </c>
      <c r="AG123" s="1" t="s">
        <v>36</v>
      </c>
      <c r="AH123" s="1" t="s">
        <v>1182</v>
      </c>
    </row>
    <row r="124" spans="1:34" x14ac:dyDescent="0.35">
      <c r="A124" s="1">
        <v>3</v>
      </c>
      <c r="B124" s="1" t="s">
        <v>2149</v>
      </c>
      <c r="C124" s="1" t="s">
        <v>1183</v>
      </c>
      <c r="D124" s="1" t="s">
        <v>1184</v>
      </c>
      <c r="E124" s="4" t="s">
        <v>1185</v>
      </c>
      <c r="F124">
        <v>2006</v>
      </c>
      <c r="G124" s="1" t="s">
        <v>1186</v>
      </c>
      <c r="H124" s="1" t="s">
        <v>1187</v>
      </c>
      <c r="I124" s="1" t="s">
        <v>512</v>
      </c>
      <c r="J124" s="1" t="s">
        <v>28</v>
      </c>
      <c r="K124">
        <v>18</v>
      </c>
      <c r="L124">
        <v>24</v>
      </c>
      <c r="O124" s="1" t="s">
        <v>28</v>
      </c>
      <c r="P124" s="1" t="s">
        <v>1188</v>
      </c>
      <c r="Q124" s="1" t="s">
        <v>1189</v>
      </c>
      <c r="R124" s="1" t="s">
        <v>28</v>
      </c>
      <c r="S124" s="1" t="s">
        <v>1190</v>
      </c>
      <c r="T124" s="1" t="s">
        <v>28</v>
      </c>
      <c r="U124" s="1" t="s">
        <v>28</v>
      </c>
      <c r="V124" s="1" t="s">
        <v>28</v>
      </c>
      <c r="W124" s="1" t="s">
        <v>28</v>
      </c>
      <c r="X124" s="1" t="s">
        <v>28</v>
      </c>
      <c r="Z124" s="1" t="s">
        <v>3991</v>
      </c>
      <c r="AA124" s="1" t="s">
        <v>28</v>
      </c>
      <c r="AB124" s="1" t="s">
        <v>3990</v>
      </c>
      <c r="AC124" s="1" t="s">
        <v>2242</v>
      </c>
      <c r="AD124" s="1" t="s">
        <v>353</v>
      </c>
      <c r="AE124" s="1" t="s">
        <v>35</v>
      </c>
      <c r="AF124" s="1" t="s">
        <v>28</v>
      </c>
      <c r="AG124" s="1" t="s">
        <v>36</v>
      </c>
      <c r="AH124" s="1" t="s">
        <v>1191</v>
      </c>
    </row>
    <row r="125" spans="1:34" ht="43.5" x14ac:dyDescent="0.35">
      <c r="A125" s="1">
        <v>0</v>
      </c>
      <c r="B125" s="1" t="s">
        <v>4532</v>
      </c>
      <c r="C125" s="1" t="s">
        <v>155</v>
      </c>
      <c r="D125" s="1" t="s">
        <v>156</v>
      </c>
      <c r="E125" s="4" t="s">
        <v>157</v>
      </c>
      <c r="F125">
        <v>2021</v>
      </c>
      <c r="G125" s="1" t="s">
        <v>158</v>
      </c>
      <c r="H125" s="1" t="s">
        <v>159</v>
      </c>
      <c r="I125" s="1" t="s">
        <v>160</v>
      </c>
      <c r="J125" s="1" t="s">
        <v>161</v>
      </c>
      <c r="N125">
        <v>9</v>
      </c>
      <c r="O125" s="1" t="s">
        <v>162</v>
      </c>
      <c r="P125" s="1" t="s">
        <v>163</v>
      </c>
      <c r="Q125" s="1" t="s">
        <v>164</v>
      </c>
      <c r="R125" s="1" t="s">
        <v>165</v>
      </c>
      <c r="S125" s="1" t="s">
        <v>166</v>
      </c>
      <c r="T125" s="1" t="s">
        <v>28</v>
      </c>
      <c r="U125" s="1" t="s">
        <v>4248</v>
      </c>
      <c r="V125" s="1" t="s">
        <v>28</v>
      </c>
      <c r="W125" s="1" t="s">
        <v>28</v>
      </c>
      <c r="X125" s="1" t="s">
        <v>28</v>
      </c>
      <c r="Z125" s="1" t="s">
        <v>4247</v>
      </c>
      <c r="AA125" s="1" t="s">
        <v>28</v>
      </c>
      <c r="AB125" s="1" t="s">
        <v>4246</v>
      </c>
      <c r="AC125" s="1" t="s">
        <v>2242</v>
      </c>
      <c r="AD125" s="1" t="s">
        <v>34</v>
      </c>
      <c r="AE125" s="1" t="s">
        <v>35</v>
      </c>
      <c r="AF125" s="1" t="s">
        <v>4160</v>
      </c>
      <c r="AG125" s="1" t="s">
        <v>36</v>
      </c>
      <c r="AH125" s="1" t="s">
        <v>167</v>
      </c>
    </row>
    <row r="126" spans="1:34" ht="29" x14ac:dyDescent="0.35">
      <c r="A126" s="1">
        <v>3</v>
      </c>
      <c r="B126" s="1" t="s">
        <v>2149</v>
      </c>
      <c r="C126" s="1" t="s">
        <v>1201</v>
      </c>
      <c r="D126" s="1" t="s">
        <v>1202</v>
      </c>
      <c r="E126" s="4" t="s">
        <v>1203</v>
      </c>
      <c r="F126">
        <v>2005</v>
      </c>
      <c r="G126" s="1" t="s">
        <v>1204</v>
      </c>
      <c r="H126" s="1" t="s">
        <v>28</v>
      </c>
      <c r="I126" s="1" t="s">
        <v>28</v>
      </c>
      <c r="J126" s="1" t="s">
        <v>28</v>
      </c>
      <c r="K126">
        <v>367</v>
      </c>
      <c r="L126">
        <v>372</v>
      </c>
      <c r="O126" s="1" t="s">
        <v>28</v>
      </c>
      <c r="P126" s="1" t="s">
        <v>1205</v>
      </c>
      <c r="Q126" s="1" t="s">
        <v>1206</v>
      </c>
      <c r="R126" s="1" t="s">
        <v>28</v>
      </c>
      <c r="S126" s="1" t="s">
        <v>1207</v>
      </c>
      <c r="T126" s="1" t="s">
        <v>3984</v>
      </c>
      <c r="U126" s="1" t="s">
        <v>3983</v>
      </c>
      <c r="V126" s="1" t="s">
        <v>3982</v>
      </c>
      <c r="W126" s="1" t="s">
        <v>3981</v>
      </c>
      <c r="X126" s="1" t="s">
        <v>28</v>
      </c>
      <c r="Y126">
        <v>109399</v>
      </c>
      <c r="Z126" s="1" t="s">
        <v>28</v>
      </c>
      <c r="AA126" s="1" t="s">
        <v>3980</v>
      </c>
      <c r="AB126" s="1" t="s">
        <v>28</v>
      </c>
      <c r="AC126" s="1" t="s">
        <v>2242</v>
      </c>
      <c r="AD126" s="1" t="s">
        <v>176</v>
      </c>
      <c r="AE126" s="1" t="s">
        <v>35</v>
      </c>
      <c r="AF126" s="1" t="s">
        <v>28</v>
      </c>
      <c r="AG126" s="1" t="s">
        <v>36</v>
      </c>
      <c r="AH126" s="1" t="s">
        <v>1208</v>
      </c>
    </row>
    <row r="127" spans="1:34" ht="29" x14ac:dyDescent="0.35">
      <c r="A127" s="1">
        <v>0</v>
      </c>
      <c r="B127" s="1" t="s">
        <v>4532</v>
      </c>
      <c r="C127" s="1" t="s">
        <v>863</v>
      </c>
      <c r="D127" s="1" t="s">
        <v>864</v>
      </c>
      <c r="E127" s="4" t="s">
        <v>865</v>
      </c>
      <c r="F127">
        <v>2014</v>
      </c>
      <c r="G127" s="1" t="s">
        <v>866</v>
      </c>
      <c r="H127" s="1" t="s">
        <v>639</v>
      </c>
      <c r="I127" s="1" t="s">
        <v>64</v>
      </c>
      <c r="J127" s="1" t="s">
        <v>28</v>
      </c>
      <c r="K127">
        <v>2967</v>
      </c>
      <c r="L127">
        <v>2980</v>
      </c>
      <c r="N127">
        <v>29</v>
      </c>
      <c r="O127" s="1" t="s">
        <v>867</v>
      </c>
      <c r="P127" s="1" t="s">
        <v>868</v>
      </c>
      <c r="Q127" s="1" t="s">
        <v>869</v>
      </c>
      <c r="R127" s="1" t="s">
        <v>870</v>
      </c>
      <c r="S127" s="1" t="s">
        <v>871</v>
      </c>
      <c r="T127" s="1" t="s">
        <v>28</v>
      </c>
      <c r="U127" s="1" t="s">
        <v>4058</v>
      </c>
      <c r="V127" s="1" t="s">
        <v>28</v>
      </c>
      <c r="W127" s="1" t="s">
        <v>28</v>
      </c>
      <c r="X127" s="1" t="s">
        <v>28</v>
      </c>
      <c r="Z127" s="1" t="s">
        <v>3997</v>
      </c>
      <c r="AA127" s="1" t="s">
        <v>28</v>
      </c>
      <c r="AB127" s="1" t="s">
        <v>28</v>
      </c>
      <c r="AC127" s="1" t="s">
        <v>2242</v>
      </c>
      <c r="AD127" s="1" t="s">
        <v>34</v>
      </c>
      <c r="AE127" s="1" t="s">
        <v>35</v>
      </c>
      <c r="AF127" s="1" t="s">
        <v>28</v>
      </c>
      <c r="AG127" s="1" t="s">
        <v>36</v>
      </c>
      <c r="AH127" s="1" t="s">
        <v>872</v>
      </c>
    </row>
    <row r="128" spans="1:34" ht="29" x14ac:dyDescent="0.35">
      <c r="A128" s="1">
        <v>3</v>
      </c>
      <c r="B128" s="1" t="s">
        <v>2149</v>
      </c>
      <c r="C128" s="1" t="s">
        <v>1192</v>
      </c>
      <c r="D128" s="1" t="s">
        <v>1193</v>
      </c>
      <c r="E128" s="4" t="s">
        <v>1194</v>
      </c>
      <c r="F128">
        <v>2005</v>
      </c>
      <c r="G128" s="1" t="s">
        <v>1195</v>
      </c>
      <c r="H128" s="1" t="s">
        <v>28</v>
      </c>
      <c r="I128" s="1" t="s">
        <v>28</v>
      </c>
      <c r="J128" s="1" t="s">
        <v>28</v>
      </c>
      <c r="K128">
        <v>1617</v>
      </c>
      <c r="L128">
        <v>1623</v>
      </c>
      <c r="N128">
        <v>6</v>
      </c>
      <c r="O128" s="1" t="s">
        <v>28</v>
      </c>
      <c r="P128" s="1" t="s">
        <v>1196</v>
      </c>
      <c r="Q128" s="1" t="s">
        <v>1197</v>
      </c>
      <c r="R128" s="1" t="s">
        <v>1198</v>
      </c>
      <c r="S128" s="1" t="s">
        <v>1199</v>
      </c>
      <c r="T128" s="1" t="s">
        <v>3989</v>
      </c>
      <c r="U128" s="1" t="s">
        <v>28</v>
      </c>
      <c r="V128" s="1" t="s">
        <v>3988</v>
      </c>
      <c r="W128" s="1" t="s">
        <v>3987</v>
      </c>
      <c r="X128" s="1" t="s">
        <v>3986</v>
      </c>
      <c r="Y128">
        <v>86473</v>
      </c>
      <c r="Z128" s="1" t="s">
        <v>28</v>
      </c>
      <c r="AA128" s="1" t="s">
        <v>3985</v>
      </c>
      <c r="AB128" s="1" t="s">
        <v>28</v>
      </c>
      <c r="AC128" s="1" t="s">
        <v>2242</v>
      </c>
      <c r="AD128" s="1" t="s">
        <v>176</v>
      </c>
      <c r="AE128" s="1" t="s">
        <v>35</v>
      </c>
      <c r="AF128" s="1" t="s">
        <v>28</v>
      </c>
      <c r="AG128" s="1" t="s">
        <v>36</v>
      </c>
      <c r="AH128" s="1" t="s">
        <v>1200</v>
      </c>
    </row>
    <row r="129" spans="1:34" ht="29" x14ac:dyDescent="0.35">
      <c r="A129" s="1">
        <v>4</v>
      </c>
      <c r="B129" s="1" t="s">
        <v>4535</v>
      </c>
      <c r="C129" s="1" t="s">
        <v>1229</v>
      </c>
      <c r="D129" s="1" t="s">
        <v>1230</v>
      </c>
      <c r="E129" s="4" t="s">
        <v>1231</v>
      </c>
      <c r="F129">
        <v>2005</v>
      </c>
      <c r="G129" s="1" t="s">
        <v>1232</v>
      </c>
      <c r="H129" s="1" t="s">
        <v>1233</v>
      </c>
      <c r="I129" s="1" t="s">
        <v>125</v>
      </c>
      <c r="J129" s="1" t="s">
        <v>28</v>
      </c>
      <c r="K129">
        <v>1095</v>
      </c>
      <c r="L129">
        <v>1131</v>
      </c>
      <c r="N129">
        <v>148</v>
      </c>
      <c r="O129" s="1" t="s">
        <v>1234</v>
      </c>
      <c r="P129" s="1" t="s">
        <v>1235</v>
      </c>
      <c r="Q129" s="1" t="s">
        <v>1236</v>
      </c>
      <c r="R129" s="1" t="s">
        <v>28</v>
      </c>
      <c r="S129" s="1" t="s">
        <v>28</v>
      </c>
      <c r="T129" s="1" t="s">
        <v>28</v>
      </c>
      <c r="U129" s="1" t="s">
        <v>28</v>
      </c>
      <c r="V129" s="1" t="s">
        <v>28</v>
      </c>
      <c r="W129" s="1" t="s">
        <v>28</v>
      </c>
      <c r="X129" s="1" t="s">
        <v>28</v>
      </c>
      <c r="Z129" s="1" t="s">
        <v>3973</v>
      </c>
      <c r="AA129" s="1" t="s">
        <v>28</v>
      </c>
      <c r="AB129" s="1" t="s">
        <v>28</v>
      </c>
      <c r="AC129" s="1" t="s">
        <v>2242</v>
      </c>
      <c r="AD129" s="1" t="s">
        <v>34</v>
      </c>
      <c r="AE129" s="1" t="s">
        <v>35</v>
      </c>
      <c r="AF129" s="1" t="s">
        <v>3970</v>
      </c>
      <c r="AG129" s="1" t="s">
        <v>36</v>
      </c>
      <c r="AH129" s="1" t="s">
        <v>1237</v>
      </c>
    </row>
    <row r="130" spans="1:34" ht="58" x14ac:dyDescent="0.35">
      <c r="A130" s="1">
        <v>3</v>
      </c>
      <c r="B130" s="1" t="s">
        <v>2149</v>
      </c>
      <c r="C130" s="1" t="s">
        <v>1238</v>
      </c>
      <c r="D130" s="1" t="s">
        <v>1239</v>
      </c>
      <c r="E130" s="4" t="s">
        <v>1240</v>
      </c>
      <c r="F130">
        <v>2001</v>
      </c>
      <c r="G130" s="1" t="s">
        <v>1241</v>
      </c>
      <c r="H130" s="1" t="s">
        <v>1105</v>
      </c>
      <c r="I130" s="1" t="s">
        <v>1242</v>
      </c>
      <c r="J130" s="1" t="s">
        <v>28</v>
      </c>
      <c r="K130">
        <v>245</v>
      </c>
      <c r="L130">
        <v>260</v>
      </c>
      <c r="N130">
        <v>442</v>
      </c>
      <c r="O130" s="1" t="s">
        <v>1243</v>
      </c>
      <c r="P130" s="1" t="s">
        <v>1244</v>
      </c>
      <c r="Q130" s="1" t="s">
        <v>1245</v>
      </c>
      <c r="R130" s="1" t="s">
        <v>1246</v>
      </c>
      <c r="S130" s="1" t="s">
        <v>1247</v>
      </c>
      <c r="T130" s="1" t="s">
        <v>28</v>
      </c>
      <c r="U130" s="1" t="s">
        <v>28</v>
      </c>
      <c r="V130" s="1" t="s">
        <v>28</v>
      </c>
      <c r="W130" s="1" t="s">
        <v>28</v>
      </c>
      <c r="X130" s="1" t="s">
        <v>28</v>
      </c>
      <c r="Z130" s="1" t="s">
        <v>3972</v>
      </c>
      <c r="AA130" s="1" t="s">
        <v>28</v>
      </c>
      <c r="AB130" s="1" t="s">
        <v>3971</v>
      </c>
      <c r="AC130" s="1" t="s">
        <v>2242</v>
      </c>
      <c r="AD130" s="1" t="s">
        <v>176</v>
      </c>
      <c r="AE130" s="1" t="s">
        <v>35</v>
      </c>
      <c r="AF130" s="1" t="s">
        <v>3970</v>
      </c>
      <c r="AG130" s="1" t="s">
        <v>36</v>
      </c>
      <c r="AH130" s="1" t="s">
        <v>1248</v>
      </c>
    </row>
    <row r="131" spans="1:34" ht="29" x14ac:dyDescent="0.35">
      <c r="A131" s="1">
        <v>3</v>
      </c>
      <c r="B131" s="1" t="s">
        <v>2149</v>
      </c>
      <c r="C131" s="1" t="s">
        <v>1249</v>
      </c>
      <c r="D131" s="1" t="s">
        <v>1250</v>
      </c>
      <c r="E131" s="4" t="s">
        <v>1251</v>
      </c>
      <c r="F131">
        <v>2000</v>
      </c>
      <c r="G131" s="1" t="s">
        <v>1252</v>
      </c>
      <c r="H131" s="1" t="s">
        <v>78</v>
      </c>
      <c r="I131" s="1" t="s">
        <v>28</v>
      </c>
      <c r="J131" s="1" t="s">
        <v>28</v>
      </c>
      <c r="K131">
        <v>1163</v>
      </c>
      <c r="L131">
        <v>1174</v>
      </c>
      <c r="N131">
        <v>1</v>
      </c>
      <c r="O131" s="1" t="s">
        <v>28</v>
      </c>
      <c r="P131" s="1" t="s">
        <v>1253</v>
      </c>
      <c r="Q131" s="1" t="s">
        <v>1254</v>
      </c>
      <c r="R131" s="1" t="s">
        <v>28</v>
      </c>
      <c r="S131" s="1" t="s">
        <v>1255</v>
      </c>
      <c r="T131" s="1" t="s">
        <v>28</v>
      </c>
      <c r="U131" s="1" t="s">
        <v>28</v>
      </c>
      <c r="V131" s="1" t="s">
        <v>28</v>
      </c>
      <c r="W131" s="1" t="s">
        <v>28</v>
      </c>
      <c r="X131" s="1" t="s">
        <v>28</v>
      </c>
      <c r="Z131" s="1" t="s">
        <v>28</v>
      </c>
      <c r="AA131" s="1" t="s">
        <v>28</v>
      </c>
      <c r="AB131" s="1" t="s">
        <v>28</v>
      </c>
      <c r="AC131" s="1" t="s">
        <v>2242</v>
      </c>
      <c r="AD131" s="1" t="s">
        <v>176</v>
      </c>
      <c r="AE131" s="1" t="s">
        <v>35</v>
      </c>
      <c r="AF131" s="1" t="s">
        <v>28</v>
      </c>
      <c r="AG131" s="1" t="s">
        <v>36</v>
      </c>
      <c r="AH131" s="1" t="s">
        <v>1256</v>
      </c>
    </row>
  </sheetData>
  <pageMargins left="0.7" right="0.7" top="0.78740157499999996" bottom="0.78740157499999996"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13902-FA88-44B4-BB3C-479CE014C769}">
  <dimension ref="A1:BW132"/>
  <sheetViews>
    <sheetView zoomScaleNormal="100" workbookViewId="0">
      <selection activeCell="B134" sqref="B134"/>
    </sheetView>
  </sheetViews>
  <sheetFormatPr baseColWidth="10" defaultRowHeight="14.5" x14ac:dyDescent="0.35"/>
  <cols>
    <col min="1" max="1" width="27.1796875" customWidth="1"/>
    <col min="2" max="2" width="15.90625" bestFit="1" customWidth="1"/>
    <col min="3" max="3" width="25.26953125" bestFit="1" customWidth="1"/>
    <col min="4" max="4" width="3.81640625" customWidth="1"/>
    <col min="5" max="5" width="35.453125" customWidth="1"/>
    <col min="6" max="6" width="6.26953125" customWidth="1"/>
    <col min="7" max="7" width="10.90625" customWidth="1"/>
    <col min="8" max="8" width="14.1796875" customWidth="1"/>
    <col min="9" max="9" width="13.36328125" customWidth="1"/>
    <col min="10" max="10" width="19.81640625" customWidth="1"/>
    <col min="11" max="11" width="18.54296875" customWidth="1"/>
    <col min="12" max="12" width="23.1796875" customWidth="1"/>
    <col min="13" max="13" width="15.1796875" customWidth="1"/>
    <col min="14" max="14" width="44.54296875" customWidth="1"/>
    <col min="15" max="15" width="16.90625" customWidth="1"/>
    <col min="16" max="16" width="19.81640625" customWidth="1"/>
    <col min="18" max="18" width="16.08984375" customWidth="1"/>
    <col min="19" max="19" width="16.90625" customWidth="1"/>
    <col min="20" max="20" width="17.08984375" customWidth="1"/>
    <col min="21" max="21" width="20.1796875" customWidth="1"/>
    <col min="22" max="22" width="19.90625" customWidth="1"/>
    <col min="23" max="23" width="16.90625" customWidth="1"/>
    <col min="24" max="24" width="17.453125" customWidth="1"/>
    <col min="25" max="25" width="15.1796875" customWidth="1"/>
    <col min="26" max="26" width="69.7265625" customWidth="1"/>
    <col min="27" max="27" width="11.6328125" customWidth="1"/>
    <col min="28" max="28" width="12.26953125" customWidth="1"/>
    <col min="29" max="29" width="18.26953125" customWidth="1"/>
    <col min="30" max="30" width="16.6328125" customWidth="1"/>
    <col min="31" max="31" width="15.1796875" customWidth="1"/>
    <col min="33" max="33" width="13.90625" customWidth="1"/>
    <col min="34" max="34" width="23.7265625" customWidth="1"/>
    <col min="35" max="35" width="13.81640625" customWidth="1"/>
    <col min="36" max="36" width="17.36328125" customWidth="1"/>
    <col min="37" max="38" width="22" customWidth="1"/>
    <col min="39" max="39" width="25.08984375" customWidth="1"/>
    <col min="40" max="40" width="20.1796875" customWidth="1"/>
    <col min="41" max="41" width="22.54296875" customWidth="1"/>
    <col min="43" max="43" width="14.6328125" customWidth="1"/>
    <col min="44" max="44" width="18.1796875" customWidth="1"/>
    <col min="48" max="48" width="20.453125" customWidth="1"/>
    <col min="49" max="49" width="23.7265625" customWidth="1"/>
    <col min="50" max="50" width="16.81640625" customWidth="1"/>
    <col min="53" max="53" width="13.6328125" customWidth="1"/>
    <col min="54" max="54" width="13.26953125" customWidth="1"/>
    <col min="55" max="55" width="13.6328125" customWidth="1"/>
    <col min="56" max="56" width="17.36328125" customWidth="1"/>
    <col min="57" max="57" width="11.36328125" customWidth="1"/>
    <col min="59" max="59" width="15.81640625" customWidth="1"/>
    <col min="63" max="64" width="17.36328125" customWidth="1"/>
    <col min="65" max="65" width="16.08984375" customWidth="1"/>
    <col min="66" max="66" width="21" customWidth="1"/>
    <col min="67" max="67" width="15.7265625" customWidth="1"/>
    <col min="68" max="68" width="13" customWidth="1"/>
    <col min="69" max="69" width="12" customWidth="1"/>
    <col min="70" max="70" width="24.81640625" customWidth="1"/>
    <col min="71" max="71" width="18.7265625" customWidth="1"/>
    <col min="72" max="72" width="16.81640625" customWidth="1"/>
    <col min="73" max="73" width="14.90625" customWidth="1"/>
    <col min="74" max="74" width="19.6328125" customWidth="1"/>
    <col min="75" max="75" width="22.08984375" customWidth="1"/>
  </cols>
  <sheetData>
    <row r="1" spans="1:75" x14ac:dyDescent="0.35">
      <c r="A1" t="s">
        <v>2200</v>
      </c>
      <c r="B1" t="s">
        <v>4531</v>
      </c>
      <c r="C1" t="s">
        <v>1257</v>
      </c>
      <c r="D1" t="s">
        <v>1260</v>
      </c>
      <c r="E1" t="s">
        <v>0</v>
      </c>
      <c r="F1" t="s">
        <v>1300</v>
      </c>
      <c r="G1" t="s">
        <v>1267</v>
      </c>
      <c r="H1" t="s">
        <v>1261</v>
      </c>
      <c r="I1" t="s">
        <v>1262</v>
      </c>
      <c r="J1" t="s">
        <v>1263</v>
      </c>
      <c r="K1" t="s">
        <v>1264</v>
      </c>
      <c r="L1" t="s">
        <v>1265</v>
      </c>
      <c r="M1" t="s">
        <v>1266</v>
      </c>
      <c r="N1" t="s">
        <v>1268</v>
      </c>
      <c r="O1" t="s">
        <v>1269</v>
      </c>
      <c r="P1" t="s">
        <v>1270</v>
      </c>
      <c r="Q1" t="s">
        <v>1271</v>
      </c>
      <c r="R1" t="s">
        <v>18</v>
      </c>
      <c r="S1" t="s">
        <v>1272</v>
      </c>
      <c r="T1" t="s">
        <v>1273</v>
      </c>
      <c r="U1" t="s">
        <v>1274</v>
      </c>
      <c r="V1" t="s">
        <v>1275</v>
      </c>
      <c r="W1" t="s">
        <v>1276</v>
      </c>
      <c r="X1" t="s">
        <v>16</v>
      </c>
      <c r="Y1" t="s">
        <v>1277</v>
      </c>
      <c r="Z1" t="s">
        <v>15</v>
      </c>
      <c r="AA1" t="s">
        <v>1278</v>
      </c>
      <c r="AB1" t="s">
        <v>14</v>
      </c>
      <c r="AC1" t="s">
        <v>1279</v>
      </c>
      <c r="AD1" t="s">
        <v>1280</v>
      </c>
      <c r="AE1" t="s">
        <v>1281</v>
      </c>
      <c r="AF1" t="s">
        <v>1282</v>
      </c>
      <c r="AG1" t="s">
        <v>1283</v>
      </c>
      <c r="AH1" t="s">
        <v>2239</v>
      </c>
      <c r="AI1" t="s">
        <v>1284</v>
      </c>
      <c r="AJ1" t="s">
        <v>1285</v>
      </c>
      <c r="AK1" t="s">
        <v>1286</v>
      </c>
      <c r="AL1" t="s">
        <v>1287</v>
      </c>
      <c r="AM1" t="s">
        <v>1288</v>
      </c>
      <c r="AN1" t="s">
        <v>1289</v>
      </c>
      <c r="AO1" t="s">
        <v>1290</v>
      </c>
      <c r="AP1" t="s">
        <v>1291</v>
      </c>
      <c r="AQ1" t="s">
        <v>1292</v>
      </c>
      <c r="AR1" t="s">
        <v>1293</v>
      </c>
      <c r="AS1" t="s">
        <v>1294</v>
      </c>
      <c r="AT1" t="s">
        <v>1295</v>
      </c>
      <c r="AU1" t="s">
        <v>1296</v>
      </c>
      <c r="AV1" t="s">
        <v>1297</v>
      </c>
      <c r="AW1" t="s">
        <v>1298</v>
      </c>
      <c r="AX1" t="s">
        <v>1299</v>
      </c>
      <c r="AY1" t="s">
        <v>5</v>
      </c>
      <c r="AZ1" t="s">
        <v>6</v>
      </c>
      <c r="BA1" t="s">
        <v>1301</v>
      </c>
      <c r="BB1" t="s">
        <v>1302</v>
      </c>
      <c r="BC1" t="s">
        <v>1303</v>
      </c>
      <c r="BD1" t="s">
        <v>1304</v>
      </c>
      <c r="BE1" t="s">
        <v>1305</v>
      </c>
      <c r="BF1" t="s">
        <v>1306</v>
      </c>
      <c r="BG1" t="s">
        <v>1307</v>
      </c>
      <c r="BH1" t="s">
        <v>12</v>
      </c>
      <c r="BI1" t="s">
        <v>2240</v>
      </c>
      <c r="BJ1" t="s">
        <v>1308</v>
      </c>
      <c r="BK1" t="s">
        <v>1309</v>
      </c>
      <c r="BL1" t="s">
        <v>1310</v>
      </c>
      <c r="BM1" t="s">
        <v>1311</v>
      </c>
      <c r="BN1" t="s">
        <v>1312</v>
      </c>
      <c r="BO1" t="s">
        <v>1313</v>
      </c>
      <c r="BP1" t="s">
        <v>1314</v>
      </c>
      <c r="BQ1" t="s">
        <v>1316</v>
      </c>
      <c r="BR1" t="s">
        <v>1317</v>
      </c>
      <c r="BS1" t="s">
        <v>1318</v>
      </c>
      <c r="BT1" t="s">
        <v>1319</v>
      </c>
      <c r="BU1" t="s">
        <v>1320</v>
      </c>
      <c r="BV1" t="s">
        <v>1315</v>
      </c>
      <c r="BW1" t="s">
        <v>2241</v>
      </c>
    </row>
    <row r="2" spans="1:75" x14ac:dyDescent="0.35">
      <c r="A2">
        <f>COUNTIF(Scopus!$E$2:$E$128,"="&amp;Tabelle6[[#This Row],[Article Title]])</f>
        <v>2</v>
      </c>
      <c r="B2">
        <v>1</v>
      </c>
      <c r="C2" s="1" t="s">
        <v>2148</v>
      </c>
      <c r="D2" t="s">
        <v>1417</v>
      </c>
      <c r="E2" t="s">
        <v>2079</v>
      </c>
      <c r="F2">
        <v>2006</v>
      </c>
      <c r="G2" t="s">
        <v>1123</v>
      </c>
      <c r="H2" t="s">
        <v>28</v>
      </c>
      <c r="I2" t="s">
        <v>28</v>
      </c>
      <c r="J2" t="s">
        <v>2080</v>
      </c>
      <c r="K2" t="s">
        <v>2081</v>
      </c>
      <c r="L2" t="s">
        <v>28</v>
      </c>
      <c r="M2" t="s">
        <v>28</v>
      </c>
      <c r="N2" t="s">
        <v>2082</v>
      </c>
      <c r="O2" t="s">
        <v>28</v>
      </c>
      <c r="P2" t="s">
        <v>28</v>
      </c>
      <c r="Q2" t="s">
        <v>2242</v>
      </c>
      <c r="R2" t="s">
        <v>2345</v>
      </c>
      <c r="S2" t="s">
        <v>2083</v>
      </c>
      <c r="T2" t="s">
        <v>2084</v>
      </c>
      <c r="U2" t="s">
        <v>2085</v>
      </c>
      <c r="V2" t="s">
        <v>3925</v>
      </c>
      <c r="W2" t="s">
        <v>2086</v>
      </c>
      <c r="X2" t="s">
        <v>3926</v>
      </c>
      <c r="Y2" t="s">
        <v>28</v>
      </c>
      <c r="Z2" t="s">
        <v>1179</v>
      </c>
      <c r="AA2" t="s">
        <v>3927</v>
      </c>
      <c r="AB2" t="s">
        <v>28</v>
      </c>
      <c r="AC2" t="s">
        <v>3928</v>
      </c>
      <c r="AD2" t="s">
        <v>3929</v>
      </c>
      <c r="AE2" t="s">
        <v>28</v>
      </c>
      <c r="AF2" t="s">
        <v>28</v>
      </c>
      <c r="AG2" t="s">
        <v>28</v>
      </c>
      <c r="AH2" t="s">
        <v>28</v>
      </c>
      <c r="AI2" t="s">
        <v>28</v>
      </c>
      <c r="AJ2" t="s">
        <v>28</v>
      </c>
      <c r="AK2">
        <v>12</v>
      </c>
      <c r="AL2">
        <v>8</v>
      </c>
      <c r="AM2">
        <v>8</v>
      </c>
      <c r="AN2">
        <v>0</v>
      </c>
      <c r="AO2">
        <v>1</v>
      </c>
      <c r="AP2" t="s">
        <v>3930</v>
      </c>
      <c r="AQ2" t="s">
        <v>3931</v>
      </c>
      <c r="AR2" t="s">
        <v>3932</v>
      </c>
      <c r="AS2" t="s">
        <v>28</v>
      </c>
      <c r="AT2" t="s">
        <v>28</v>
      </c>
      <c r="AU2" t="s">
        <v>2087</v>
      </c>
      <c r="AV2" t="s">
        <v>28</v>
      </c>
      <c r="AW2" t="s">
        <v>28</v>
      </c>
      <c r="AX2" t="s">
        <v>28</v>
      </c>
      <c r="AY2" t="s">
        <v>28</v>
      </c>
      <c r="AZ2" t="s">
        <v>28</v>
      </c>
      <c r="BA2" t="s">
        <v>28</v>
      </c>
      <c r="BB2" t="s">
        <v>28</v>
      </c>
      <c r="BC2" t="s">
        <v>28</v>
      </c>
      <c r="BD2" t="s">
        <v>28</v>
      </c>
      <c r="BE2">
        <v>3</v>
      </c>
      <c r="BF2" t="s">
        <v>2049</v>
      </c>
      <c r="BG2" t="s">
        <v>28</v>
      </c>
      <c r="BH2" t="s">
        <v>28</v>
      </c>
      <c r="BI2" t="s">
        <v>28</v>
      </c>
      <c r="BJ2" t="s">
        <v>28</v>
      </c>
      <c r="BK2" t="s">
        <v>28</v>
      </c>
      <c r="BL2">
        <v>2</v>
      </c>
      <c r="BM2" t="s">
        <v>3933</v>
      </c>
      <c r="BN2" t="s">
        <v>2357</v>
      </c>
      <c r="BO2" t="s">
        <v>3205</v>
      </c>
      <c r="BP2" t="s">
        <v>3934</v>
      </c>
      <c r="BQ2" t="s">
        <v>28</v>
      </c>
      <c r="BR2" t="s">
        <v>28</v>
      </c>
      <c r="BS2" t="s">
        <v>28</v>
      </c>
      <c r="BT2" t="s">
        <v>28</v>
      </c>
      <c r="BU2" t="s">
        <v>2261</v>
      </c>
      <c r="BV2" t="s">
        <v>2088</v>
      </c>
      <c r="BW2" t="str">
        <f>HYPERLINK("https%3A%2F%2Fwww.webofscience.com%2Fwos%2Fwoscc%2Ffull-record%2FWOS:000241941300008","View Full Record in Web of Science")</f>
        <v>View Full Record in Web of Science</v>
      </c>
    </row>
    <row r="3" spans="1:75" x14ac:dyDescent="0.35">
      <c r="A3">
        <f>COUNTIF(Scopus!$E$2:$E$128,"="&amp;Tabelle6[[#This Row],[Article Title]])</f>
        <v>1</v>
      </c>
      <c r="B3">
        <v>1</v>
      </c>
      <c r="C3" s="1" t="s">
        <v>2148</v>
      </c>
      <c r="D3" t="s">
        <v>1417</v>
      </c>
      <c r="E3" t="s">
        <v>1823</v>
      </c>
      <c r="F3">
        <v>2015</v>
      </c>
      <c r="G3" t="s">
        <v>791</v>
      </c>
      <c r="H3" t="s">
        <v>28</v>
      </c>
      <c r="I3" t="s">
        <v>1824</v>
      </c>
      <c r="J3" t="s">
        <v>28</v>
      </c>
      <c r="K3" t="s">
        <v>1825</v>
      </c>
      <c r="L3" t="s">
        <v>28</v>
      </c>
      <c r="M3" t="s">
        <v>28</v>
      </c>
      <c r="N3" t="s">
        <v>1826</v>
      </c>
      <c r="O3" t="s">
        <v>28</v>
      </c>
      <c r="P3" t="s">
        <v>28</v>
      </c>
      <c r="Q3" t="s">
        <v>2242</v>
      </c>
      <c r="R3" t="s">
        <v>2345</v>
      </c>
      <c r="S3" t="s">
        <v>1827</v>
      </c>
      <c r="T3" t="s">
        <v>1828</v>
      </c>
      <c r="U3" t="s">
        <v>1829</v>
      </c>
      <c r="V3" t="s">
        <v>1830</v>
      </c>
      <c r="W3" t="s">
        <v>28</v>
      </c>
      <c r="X3" t="s">
        <v>28</v>
      </c>
      <c r="Y3" t="s">
        <v>28</v>
      </c>
      <c r="Z3" t="s">
        <v>2901</v>
      </c>
      <c r="AA3" t="s">
        <v>2902</v>
      </c>
      <c r="AB3" t="s">
        <v>28</v>
      </c>
      <c r="AC3" t="s">
        <v>2903</v>
      </c>
      <c r="AD3" t="s">
        <v>2904</v>
      </c>
      <c r="AE3" t="s">
        <v>28</v>
      </c>
      <c r="AF3" t="s">
        <v>28</v>
      </c>
      <c r="AG3" t="s">
        <v>2803</v>
      </c>
      <c r="AH3" t="s">
        <v>2291</v>
      </c>
      <c r="AI3" t="s">
        <v>2905</v>
      </c>
      <c r="AJ3" t="s">
        <v>28</v>
      </c>
      <c r="AK3">
        <v>11</v>
      </c>
      <c r="AL3">
        <v>1</v>
      </c>
      <c r="AM3">
        <v>1</v>
      </c>
      <c r="AN3">
        <v>0</v>
      </c>
      <c r="AO3">
        <v>4</v>
      </c>
      <c r="AP3" t="s">
        <v>2353</v>
      </c>
      <c r="AQ3" t="s">
        <v>2354</v>
      </c>
      <c r="AR3" t="s">
        <v>2355</v>
      </c>
      <c r="AS3" t="s">
        <v>28</v>
      </c>
      <c r="AT3" t="s">
        <v>28</v>
      </c>
      <c r="AU3" t="s">
        <v>1831</v>
      </c>
      <c r="AV3" t="s">
        <v>28</v>
      </c>
      <c r="AW3" t="s">
        <v>28</v>
      </c>
      <c r="AX3" t="s">
        <v>28</v>
      </c>
      <c r="AY3" t="s">
        <v>28</v>
      </c>
      <c r="AZ3" t="s">
        <v>28</v>
      </c>
      <c r="BA3" t="s">
        <v>28</v>
      </c>
      <c r="BB3" t="s">
        <v>28</v>
      </c>
      <c r="BC3" t="s">
        <v>28</v>
      </c>
      <c r="BD3" t="s">
        <v>28</v>
      </c>
      <c r="BE3">
        <v>2067</v>
      </c>
      <c r="BF3">
        <v>2072</v>
      </c>
      <c r="BG3" t="s">
        <v>28</v>
      </c>
      <c r="BH3" t="s">
        <v>28</v>
      </c>
      <c r="BI3" t="s">
        <v>28</v>
      </c>
      <c r="BJ3" t="s">
        <v>28</v>
      </c>
      <c r="BK3" t="s">
        <v>28</v>
      </c>
      <c r="BL3">
        <v>6</v>
      </c>
      <c r="BM3" t="s">
        <v>2356</v>
      </c>
      <c r="BN3" t="s">
        <v>2357</v>
      </c>
      <c r="BO3" t="s">
        <v>2358</v>
      </c>
      <c r="BP3" t="s">
        <v>2906</v>
      </c>
      <c r="BQ3" t="s">
        <v>28</v>
      </c>
      <c r="BR3" t="s">
        <v>28</v>
      </c>
      <c r="BS3" t="s">
        <v>28</v>
      </c>
      <c r="BT3" t="s">
        <v>28</v>
      </c>
      <c r="BU3" t="s">
        <v>2261</v>
      </c>
      <c r="BV3" t="s">
        <v>1832</v>
      </c>
      <c r="BW3" t="str">
        <f>HYPERLINK("https%3A%2F%2Fwww.webofscience.com%2Fwos%2Fwoscc%2Ffull-record%2FWOS:000392856300203","View Full Record in Web of Science")</f>
        <v>View Full Record in Web of Science</v>
      </c>
    </row>
    <row r="4" spans="1:75" x14ac:dyDescent="0.35">
      <c r="A4">
        <f>COUNTIF(Scopus!$E$2:$E$128,"="&amp;Tabelle6[[#This Row],[Article Title]])</f>
        <v>1</v>
      </c>
      <c r="B4">
        <v>1</v>
      </c>
      <c r="C4" s="1" t="s">
        <v>2148</v>
      </c>
      <c r="D4" t="s">
        <v>1321</v>
      </c>
      <c r="E4" t="s">
        <v>1599</v>
      </c>
      <c r="F4">
        <v>2018</v>
      </c>
      <c r="G4" t="s">
        <v>428</v>
      </c>
      <c r="H4" t="s">
        <v>28</v>
      </c>
      <c r="I4" t="s">
        <v>28</v>
      </c>
      <c r="J4" t="s">
        <v>28</v>
      </c>
      <c r="K4" t="s">
        <v>1600</v>
      </c>
      <c r="L4" t="s">
        <v>28</v>
      </c>
      <c r="M4" t="s">
        <v>28</v>
      </c>
      <c r="N4" t="s">
        <v>1519</v>
      </c>
      <c r="O4" t="s">
        <v>28</v>
      </c>
      <c r="P4" t="s">
        <v>28</v>
      </c>
      <c r="Q4" t="s">
        <v>2242</v>
      </c>
      <c r="R4" t="s">
        <v>34</v>
      </c>
      <c r="S4" t="s">
        <v>28</v>
      </c>
      <c r="T4" t="s">
        <v>28</v>
      </c>
      <c r="U4" t="s">
        <v>28</v>
      </c>
      <c r="V4" t="s">
        <v>28</v>
      </c>
      <c r="W4" t="s">
        <v>28</v>
      </c>
      <c r="X4" t="s">
        <v>2797</v>
      </c>
      <c r="Y4" t="s">
        <v>2798</v>
      </c>
      <c r="Z4" t="s">
        <v>2799</v>
      </c>
      <c r="AA4" t="s">
        <v>2800</v>
      </c>
      <c r="AB4" t="s">
        <v>28</v>
      </c>
      <c r="AC4" t="s">
        <v>2801</v>
      </c>
      <c r="AD4" t="s">
        <v>2802</v>
      </c>
      <c r="AE4" t="s">
        <v>28</v>
      </c>
      <c r="AF4" t="s">
        <v>28</v>
      </c>
      <c r="AG4" t="s">
        <v>2803</v>
      </c>
      <c r="AH4" t="s">
        <v>2291</v>
      </c>
      <c r="AI4" t="s">
        <v>2804</v>
      </c>
      <c r="AJ4" t="s">
        <v>28</v>
      </c>
      <c r="AK4">
        <v>47</v>
      </c>
      <c r="AL4">
        <v>12</v>
      </c>
      <c r="AM4">
        <v>12</v>
      </c>
      <c r="AN4">
        <v>1</v>
      </c>
      <c r="AO4">
        <v>25</v>
      </c>
      <c r="AP4" t="s">
        <v>2293</v>
      </c>
      <c r="AQ4" t="s">
        <v>2294</v>
      </c>
      <c r="AR4" t="s">
        <v>2295</v>
      </c>
      <c r="AS4" t="s">
        <v>1520</v>
      </c>
      <c r="AT4" t="s">
        <v>1521</v>
      </c>
      <c r="AU4" t="s">
        <v>28</v>
      </c>
      <c r="AV4" t="s">
        <v>2805</v>
      </c>
      <c r="AW4" t="s">
        <v>2806</v>
      </c>
      <c r="AX4" t="s">
        <v>1437</v>
      </c>
      <c r="AY4">
        <v>566</v>
      </c>
      <c r="AZ4" t="s">
        <v>28</v>
      </c>
      <c r="BA4" t="s">
        <v>28</v>
      </c>
      <c r="BB4" t="s">
        <v>28</v>
      </c>
      <c r="BC4" t="s">
        <v>28</v>
      </c>
      <c r="BD4" t="s">
        <v>28</v>
      </c>
      <c r="BE4">
        <v>872</v>
      </c>
      <c r="BF4">
        <v>885</v>
      </c>
      <c r="BG4" t="s">
        <v>28</v>
      </c>
      <c r="BH4" t="s">
        <v>431</v>
      </c>
      <c r="BI4" t="str">
        <f>HYPERLINK("http://dx.doi.org/10.1016/j.jhydrol.2018.08.045","http://dx.doi.org/10.1016/j.jhydrol.2018.08.045")</f>
        <v>http://dx.doi.org/10.1016/j.jhydrol.2018.08.045</v>
      </c>
      <c r="BJ4" t="s">
        <v>28</v>
      </c>
      <c r="BK4" t="s">
        <v>28</v>
      </c>
      <c r="BL4">
        <v>14</v>
      </c>
      <c r="BM4" t="s">
        <v>2807</v>
      </c>
      <c r="BN4" t="s">
        <v>2314</v>
      </c>
      <c r="BO4" t="s">
        <v>2738</v>
      </c>
      <c r="BP4" t="s">
        <v>2808</v>
      </c>
      <c r="BQ4" t="s">
        <v>28</v>
      </c>
      <c r="BR4" t="s">
        <v>28</v>
      </c>
      <c r="BS4" t="s">
        <v>28</v>
      </c>
      <c r="BT4" t="s">
        <v>28</v>
      </c>
      <c r="BU4" t="s">
        <v>2261</v>
      </c>
      <c r="BV4" t="s">
        <v>1601</v>
      </c>
      <c r="BW4" t="str">
        <f>HYPERLINK("https%3A%2F%2Fwww.webofscience.com%2Fwos%2Fwoscc%2Ffull-record%2FWOS:000449901100066","View Full Record in Web of Science")</f>
        <v>View Full Record in Web of Science</v>
      </c>
    </row>
    <row r="5" spans="1:75" x14ac:dyDescent="0.35">
      <c r="A5">
        <f>COUNTIF(Scopus!$E$2:$E$128,"="&amp;Tabelle6[[#This Row],[Article Title]])</f>
        <v>1</v>
      </c>
      <c r="B5">
        <v>1</v>
      </c>
      <c r="C5" s="1" t="s">
        <v>2148</v>
      </c>
      <c r="D5" t="s">
        <v>1417</v>
      </c>
      <c r="E5" t="s">
        <v>1745</v>
      </c>
      <c r="F5">
        <v>2016</v>
      </c>
      <c r="G5" t="s">
        <v>682</v>
      </c>
      <c r="H5" t="s">
        <v>28</v>
      </c>
      <c r="I5" t="s">
        <v>1746</v>
      </c>
      <c r="J5" t="s">
        <v>28</v>
      </c>
      <c r="K5" t="s">
        <v>1747</v>
      </c>
      <c r="L5" t="s">
        <v>28</v>
      </c>
      <c r="M5" t="s">
        <v>28</v>
      </c>
      <c r="N5" t="s">
        <v>1748</v>
      </c>
      <c r="O5" t="s">
        <v>28</v>
      </c>
      <c r="P5" t="s">
        <v>28</v>
      </c>
      <c r="Q5" t="s">
        <v>2242</v>
      </c>
      <c r="R5" t="s">
        <v>2345</v>
      </c>
      <c r="S5" t="s">
        <v>1749</v>
      </c>
      <c r="T5" t="s">
        <v>1750</v>
      </c>
      <c r="U5" t="s">
        <v>1751</v>
      </c>
      <c r="V5" t="s">
        <v>1752</v>
      </c>
      <c r="W5" t="s">
        <v>1753</v>
      </c>
      <c r="X5" t="s">
        <v>28</v>
      </c>
      <c r="Y5" t="s">
        <v>3006</v>
      </c>
      <c r="Z5" t="s">
        <v>3511</v>
      </c>
      <c r="AA5" t="s">
        <v>3512</v>
      </c>
      <c r="AB5" t="s">
        <v>28</v>
      </c>
      <c r="AC5" t="s">
        <v>2903</v>
      </c>
      <c r="AD5" t="s">
        <v>3513</v>
      </c>
      <c r="AE5" t="s">
        <v>28</v>
      </c>
      <c r="AF5" t="s">
        <v>28</v>
      </c>
      <c r="AG5" t="s">
        <v>28</v>
      </c>
      <c r="AH5" t="s">
        <v>28</v>
      </c>
      <c r="AI5" t="s">
        <v>28</v>
      </c>
      <c r="AJ5" t="s">
        <v>28</v>
      </c>
      <c r="AK5">
        <v>10</v>
      </c>
      <c r="AL5">
        <v>2</v>
      </c>
      <c r="AM5">
        <v>2</v>
      </c>
      <c r="AN5">
        <v>0</v>
      </c>
      <c r="AO5">
        <v>0</v>
      </c>
      <c r="AP5" t="s">
        <v>2353</v>
      </c>
      <c r="AQ5" t="s">
        <v>2354</v>
      </c>
      <c r="AR5" t="s">
        <v>2355</v>
      </c>
      <c r="AS5" t="s">
        <v>28</v>
      </c>
      <c r="AT5" t="s">
        <v>28</v>
      </c>
      <c r="AU5" t="s">
        <v>1754</v>
      </c>
      <c r="AV5" t="s">
        <v>28</v>
      </c>
      <c r="AW5" t="s">
        <v>28</v>
      </c>
      <c r="AX5" t="s">
        <v>28</v>
      </c>
      <c r="AY5" t="s">
        <v>28</v>
      </c>
      <c r="AZ5" t="s">
        <v>28</v>
      </c>
      <c r="BA5" t="s">
        <v>28</v>
      </c>
      <c r="BB5" t="s">
        <v>28</v>
      </c>
      <c r="BC5" t="s">
        <v>28</v>
      </c>
      <c r="BD5" t="s">
        <v>28</v>
      </c>
      <c r="BE5">
        <v>141</v>
      </c>
      <c r="BF5">
        <v>150</v>
      </c>
      <c r="BG5" t="s">
        <v>28</v>
      </c>
      <c r="BH5" t="s">
        <v>28</v>
      </c>
      <c r="BI5" t="s">
        <v>28</v>
      </c>
      <c r="BJ5" t="s">
        <v>28</v>
      </c>
      <c r="BK5" t="s">
        <v>28</v>
      </c>
      <c r="BL5">
        <v>10</v>
      </c>
      <c r="BM5" t="s">
        <v>2332</v>
      </c>
      <c r="BN5" t="s">
        <v>2357</v>
      </c>
      <c r="BO5" t="s">
        <v>2333</v>
      </c>
      <c r="BP5" t="s">
        <v>3514</v>
      </c>
      <c r="BQ5" t="s">
        <v>28</v>
      </c>
      <c r="BR5" t="s">
        <v>28</v>
      </c>
      <c r="BS5" t="s">
        <v>28</v>
      </c>
      <c r="BT5" t="s">
        <v>28</v>
      </c>
      <c r="BU5" t="s">
        <v>2261</v>
      </c>
      <c r="BV5" t="s">
        <v>1755</v>
      </c>
      <c r="BW5" t="str">
        <f>HYPERLINK("https%3A%2F%2Fwww.webofscience.com%2Fwos%2Fwoscc%2Ffull-record%2FWOS:000400186900016","View Full Record in Web of Science")</f>
        <v>View Full Record in Web of Science</v>
      </c>
    </row>
    <row r="6" spans="1:75" x14ac:dyDescent="0.35">
      <c r="A6">
        <f>COUNTIF(Scopus!$E$2:$E$128,"="&amp;Tabelle6[[#This Row],[Article Title]])</f>
        <v>1</v>
      </c>
      <c r="B6">
        <v>1</v>
      </c>
      <c r="C6" s="1" t="s">
        <v>2148</v>
      </c>
      <c r="D6" t="s">
        <v>1417</v>
      </c>
      <c r="E6" t="s">
        <v>1474</v>
      </c>
      <c r="F6">
        <v>2020</v>
      </c>
      <c r="G6" t="s">
        <v>1477</v>
      </c>
      <c r="H6" t="s">
        <v>28</v>
      </c>
      <c r="I6" t="s">
        <v>1475</v>
      </c>
      <c r="J6" t="s">
        <v>28</v>
      </c>
      <c r="K6" t="s">
        <v>1476</v>
      </c>
      <c r="L6" t="s">
        <v>28</v>
      </c>
      <c r="M6" t="s">
        <v>28</v>
      </c>
      <c r="N6" t="s">
        <v>1478</v>
      </c>
      <c r="O6" t="s">
        <v>421</v>
      </c>
      <c r="P6" t="s">
        <v>28</v>
      </c>
      <c r="Q6" t="s">
        <v>2242</v>
      </c>
      <c r="R6" t="s">
        <v>2345</v>
      </c>
      <c r="S6" t="s">
        <v>1479</v>
      </c>
      <c r="T6" t="s">
        <v>1480</v>
      </c>
      <c r="U6" t="s">
        <v>1481</v>
      </c>
      <c r="V6" t="s">
        <v>1482</v>
      </c>
      <c r="W6" t="s">
        <v>28</v>
      </c>
      <c r="X6" t="s">
        <v>28</v>
      </c>
      <c r="Y6" t="s">
        <v>3454</v>
      </c>
      <c r="Z6" t="s">
        <v>3455</v>
      </c>
      <c r="AA6" t="s">
        <v>3456</v>
      </c>
      <c r="AB6" t="s">
        <v>28</v>
      </c>
      <c r="AC6" t="s">
        <v>3457</v>
      </c>
      <c r="AD6" t="s">
        <v>28</v>
      </c>
      <c r="AE6" t="s">
        <v>28</v>
      </c>
      <c r="AF6" t="s">
        <v>28</v>
      </c>
      <c r="AG6" t="s">
        <v>28</v>
      </c>
      <c r="AH6" t="s">
        <v>28</v>
      </c>
      <c r="AI6" t="s">
        <v>28</v>
      </c>
      <c r="AJ6" t="s">
        <v>28</v>
      </c>
      <c r="AK6">
        <v>22</v>
      </c>
      <c r="AL6">
        <v>0</v>
      </c>
      <c r="AM6">
        <v>0</v>
      </c>
      <c r="AN6">
        <v>0</v>
      </c>
      <c r="AO6">
        <v>0</v>
      </c>
      <c r="AP6" t="s">
        <v>3458</v>
      </c>
      <c r="AQ6" t="s">
        <v>3459</v>
      </c>
      <c r="AR6" t="s">
        <v>3460</v>
      </c>
      <c r="AS6" t="s">
        <v>1483</v>
      </c>
      <c r="AT6" t="s">
        <v>28</v>
      </c>
      <c r="AU6" t="s">
        <v>1484</v>
      </c>
      <c r="AV6" t="s">
        <v>3461</v>
      </c>
      <c r="AW6" t="s">
        <v>28</v>
      </c>
      <c r="AX6" t="s">
        <v>28</v>
      </c>
      <c r="AY6" t="s">
        <v>28</v>
      </c>
      <c r="AZ6" t="s">
        <v>28</v>
      </c>
      <c r="BA6" t="s">
        <v>28</v>
      </c>
      <c r="BB6" t="s">
        <v>28</v>
      </c>
      <c r="BC6" t="s">
        <v>28</v>
      </c>
      <c r="BD6" t="s">
        <v>28</v>
      </c>
      <c r="BE6">
        <v>2238</v>
      </c>
      <c r="BF6">
        <v>2245</v>
      </c>
      <c r="BG6" t="s">
        <v>28</v>
      </c>
      <c r="BH6" t="s">
        <v>1485</v>
      </c>
      <c r="BI6" t="str">
        <f>HYPERLINK("http://dx.doi.org/10.26868/25222708.2019.210749","http://dx.doi.org/10.26868/25222708.2019.210749")</f>
        <v>http://dx.doi.org/10.26868/25222708.2019.210749</v>
      </c>
      <c r="BJ6" t="s">
        <v>28</v>
      </c>
      <c r="BK6" t="s">
        <v>28</v>
      </c>
      <c r="BL6">
        <v>8</v>
      </c>
      <c r="BM6" t="s">
        <v>3462</v>
      </c>
      <c r="BN6" t="s">
        <v>2357</v>
      </c>
      <c r="BO6" t="s">
        <v>3462</v>
      </c>
      <c r="BP6" t="s">
        <v>3463</v>
      </c>
      <c r="BQ6" t="s">
        <v>28</v>
      </c>
      <c r="BR6" t="s">
        <v>3464</v>
      </c>
      <c r="BS6" t="s">
        <v>28</v>
      </c>
      <c r="BT6" t="s">
        <v>28</v>
      </c>
      <c r="BU6" t="s">
        <v>2261</v>
      </c>
      <c r="BV6" t="s">
        <v>1486</v>
      </c>
      <c r="BW6" t="str">
        <f>HYPERLINK("https%3A%2F%2Fwww.webofscience.com%2Fwos%2Fwoscc%2Ffull-record%2FWOS:000709431302040","View Full Record in Web of Science")</f>
        <v>View Full Record in Web of Science</v>
      </c>
    </row>
    <row r="7" spans="1:75" x14ac:dyDescent="0.35">
      <c r="A7">
        <f>COUNTIF(Scopus!$E$2:$E$128,"="&amp;Tabelle6[[#This Row],[Article Title]])</f>
        <v>0</v>
      </c>
      <c r="B7">
        <v>3</v>
      </c>
      <c r="C7" s="1" t="s">
        <v>2149</v>
      </c>
      <c r="D7" t="s">
        <v>1321</v>
      </c>
      <c r="E7" t="s">
        <v>1602</v>
      </c>
      <c r="F7">
        <v>2018</v>
      </c>
      <c r="G7" t="s">
        <v>1604</v>
      </c>
      <c r="H7" t="s">
        <v>28</v>
      </c>
      <c r="I7" t="s">
        <v>28</v>
      </c>
      <c r="J7" t="s">
        <v>28</v>
      </c>
      <c r="K7" t="s">
        <v>1603</v>
      </c>
      <c r="L7" t="s">
        <v>28</v>
      </c>
      <c r="M7" t="s">
        <v>28</v>
      </c>
      <c r="N7" t="s">
        <v>1605</v>
      </c>
      <c r="O7" t="s">
        <v>28</v>
      </c>
      <c r="P7" t="s">
        <v>28</v>
      </c>
      <c r="Q7" t="s">
        <v>2242</v>
      </c>
      <c r="R7" t="s">
        <v>34</v>
      </c>
      <c r="S7" t="s">
        <v>28</v>
      </c>
      <c r="T7" t="s">
        <v>28</v>
      </c>
      <c r="U7" t="s">
        <v>28</v>
      </c>
      <c r="V7" t="s">
        <v>28</v>
      </c>
      <c r="W7" t="s">
        <v>28</v>
      </c>
      <c r="X7" t="s">
        <v>28</v>
      </c>
      <c r="Y7" t="s">
        <v>3274</v>
      </c>
      <c r="Z7" t="s">
        <v>3275</v>
      </c>
      <c r="AA7" t="s">
        <v>3276</v>
      </c>
      <c r="AB7" t="s">
        <v>28</v>
      </c>
      <c r="AC7" t="s">
        <v>3277</v>
      </c>
      <c r="AD7" t="s">
        <v>3278</v>
      </c>
      <c r="AE7" t="s">
        <v>3279</v>
      </c>
      <c r="AF7" t="s">
        <v>3280</v>
      </c>
      <c r="AG7" t="s">
        <v>3281</v>
      </c>
      <c r="AH7" t="s">
        <v>3282</v>
      </c>
      <c r="AI7" t="s">
        <v>3283</v>
      </c>
      <c r="AJ7" t="s">
        <v>28</v>
      </c>
      <c r="AK7">
        <v>49</v>
      </c>
      <c r="AL7">
        <v>2</v>
      </c>
      <c r="AM7">
        <v>2</v>
      </c>
      <c r="AN7">
        <v>0</v>
      </c>
      <c r="AO7">
        <v>6</v>
      </c>
      <c r="AP7" t="s">
        <v>3284</v>
      </c>
      <c r="AQ7" t="s">
        <v>3285</v>
      </c>
      <c r="AR7" t="s">
        <v>3286</v>
      </c>
      <c r="AS7" t="s">
        <v>1606</v>
      </c>
      <c r="AT7" t="s">
        <v>28</v>
      </c>
      <c r="AU7" t="s">
        <v>28</v>
      </c>
      <c r="AV7" t="s">
        <v>3287</v>
      </c>
      <c r="AW7" t="s">
        <v>3288</v>
      </c>
      <c r="AX7" t="s">
        <v>1437</v>
      </c>
      <c r="AY7">
        <v>12</v>
      </c>
      <c r="AZ7">
        <v>11</v>
      </c>
      <c r="BA7" t="s">
        <v>28</v>
      </c>
      <c r="BB7" t="s">
        <v>28</v>
      </c>
      <c r="BC7" t="s">
        <v>28</v>
      </c>
      <c r="BD7" t="s">
        <v>28</v>
      </c>
      <c r="BE7" t="s">
        <v>28</v>
      </c>
      <c r="BF7" t="s">
        <v>28</v>
      </c>
      <c r="BG7" t="s">
        <v>1607</v>
      </c>
      <c r="BH7" t="s">
        <v>1608</v>
      </c>
      <c r="BI7" t="str">
        <f>HYPERLINK("http://dx.doi.org/10.1371/journal.pntd.0006905","http://dx.doi.org/10.1371/journal.pntd.0006905")</f>
        <v>http://dx.doi.org/10.1371/journal.pntd.0006905</v>
      </c>
      <c r="BJ7" t="s">
        <v>28</v>
      </c>
      <c r="BK7" t="s">
        <v>28</v>
      </c>
      <c r="BL7">
        <v>26</v>
      </c>
      <c r="BM7" t="s">
        <v>3289</v>
      </c>
      <c r="BN7" t="s">
        <v>2314</v>
      </c>
      <c r="BO7" t="s">
        <v>3289</v>
      </c>
      <c r="BP7" t="s">
        <v>3290</v>
      </c>
      <c r="BQ7">
        <v>30408045</v>
      </c>
      <c r="BR7" t="s">
        <v>3291</v>
      </c>
      <c r="BS7" t="s">
        <v>28</v>
      </c>
      <c r="BT7" t="s">
        <v>28</v>
      </c>
      <c r="BU7" t="s">
        <v>2261</v>
      </c>
      <c r="BV7" t="s">
        <v>1609</v>
      </c>
      <c r="BW7" t="str">
        <f>HYPERLINK("https%3A%2F%2Fwww.webofscience.com%2Fwos%2Fwoscc%2Ffull-record%2FWOS:000452162500033","View Full Record in Web of Science")</f>
        <v>View Full Record in Web of Science</v>
      </c>
    </row>
    <row r="8" spans="1:75" x14ac:dyDescent="0.35">
      <c r="A8">
        <f>COUNTIF(Scopus!$E$2:$E$128,"="&amp;Tabelle6[[#This Row],[Article Title]])</f>
        <v>0</v>
      </c>
      <c r="B8">
        <v>3</v>
      </c>
      <c r="C8" s="1" t="s">
        <v>2149</v>
      </c>
      <c r="D8" t="s">
        <v>1321</v>
      </c>
      <c r="E8" t="s">
        <v>1808</v>
      </c>
      <c r="F8">
        <v>2015</v>
      </c>
      <c r="G8" t="s">
        <v>1810</v>
      </c>
      <c r="H8" t="s">
        <v>28</v>
      </c>
      <c r="I8" t="s">
        <v>28</v>
      </c>
      <c r="J8" t="s">
        <v>28</v>
      </c>
      <c r="K8" t="s">
        <v>1809</v>
      </c>
      <c r="L8" t="s">
        <v>28</v>
      </c>
      <c r="M8" t="s">
        <v>28</v>
      </c>
      <c r="N8" t="s">
        <v>1811</v>
      </c>
      <c r="O8" t="s">
        <v>28</v>
      </c>
      <c r="P8" t="s">
        <v>28</v>
      </c>
      <c r="Q8" t="s">
        <v>2242</v>
      </c>
      <c r="R8" t="s">
        <v>34</v>
      </c>
      <c r="S8" t="s">
        <v>28</v>
      </c>
      <c r="T8" t="s">
        <v>28</v>
      </c>
      <c r="U8" t="s">
        <v>28</v>
      </c>
      <c r="V8" t="s">
        <v>28</v>
      </c>
      <c r="W8" t="s">
        <v>28</v>
      </c>
      <c r="X8" t="s">
        <v>28</v>
      </c>
      <c r="Y8" t="s">
        <v>3592</v>
      </c>
      <c r="Z8" t="s">
        <v>3593</v>
      </c>
      <c r="AA8" t="s">
        <v>3594</v>
      </c>
      <c r="AB8" t="s">
        <v>28</v>
      </c>
      <c r="AC8" t="s">
        <v>3595</v>
      </c>
      <c r="AD8" t="s">
        <v>3596</v>
      </c>
      <c r="AE8" t="s">
        <v>3597</v>
      </c>
      <c r="AF8" t="s">
        <v>3598</v>
      </c>
      <c r="AG8" t="s">
        <v>3599</v>
      </c>
      <c r="AH8" t="s">
        <v>3600</v>
      </c>
      <c r="AI8" t="s">
        <v>3601</v>
      </c>
      <c r="AJ8" t="s">
        <v>28</v>
      </c>
      <c r="AK8">
        <v>37</v>
      </c>
      <c r="AL8">
        <v>6</v>
      </c>
      <c r="AM8">
        <v>6</v>
      </c>
      <c r="AN8">
        <v>3</v>
      </c>
      <c r="AO8">
        <v>12</v>
      </c>
      <c r="AP8" t="s">
        <v>3284</v>
      </c>
      <c r="AQ8" t="s">
        <v>3285</v>
      </c>
      <c r="AR8" t="s">
        <v>3286</v>
      </c>
      <c r="AS8" t="s">
        <v>1812</v>
      </c>
      <c r="AT8" t="s">
        <v>28</v>
      </c>
      <c r="AU8" t="s">
        <v>28</v>
      </c>
      <c r="AV8" t="s">
        <v>1811</v>
      </c>
      <c r="AW8" t="s">
        <v>3602</v>
      </c>
      <c r="AX8" t="s">
        <v>1813</v>
      </c>
      <c r="AY8">
        <v>10</v>
      </c>
      <c r="AZ8">
        <v>9</v>
      </c>
      <c r="BA8" t="s">
        <v>28</v>
      </c>
      <c r="BB8" t="s">
        <v>28</v>
      </c>
      <c r="BC8" t="s">
        <v>28</v>
      </c>
      <c r="BD8" t="s">
        <v>28</v>
      </c>
      <c r="BE8" t="s">
        <v>28</v>
      </c>
      <c r="BF8" t="s">
        <v>28</v>
      </c>
      <c r="BG8" t="s">
        <v>1814</v>
      </c>
      <c r="BH8" t="s">
        <v>1815</v>
      </c>
      <c r="BI8" t="str">
        <f>HYPERLINK("http://dx.doi.org/10.1371/journal.pone.0139505","http://dx.doi.org/10.1371/journal.pone.0139505")</f>
        <v>http://dx.doi.org/10.1371/journal.pone.0139505</v>
      </c>
      <c r="BJ8" t="s">
        <v>28</v>
      </c>
      <c r="BK8" t="s">
        <v>28</v>
      </c>
      <c r="BL8">
        <v>18</v>
      </c>
      <c r="BM8" t="s">
        <v>3544</v>
      </c>
      <c r="BN8" t="s">
        <v>2314</v>
      </c>
      <c r="BO8" t="s">
        <v>3379</v>
      </c>
      <c r="BP8" t="s">
        <v>3603</v>
      </c>
      <c r="BQ8">
        <v>26421926</v>
      </c>
      <c r="BR8" t="s">
        <v>3022</v>
      </c>
      <c r="BS8" t="s">
        <v>28</v>
      </c>
      <c r="BT8" t="s">
        <v>28</v>
      </c>
      <c r="BU8" t="s">
        <v>2261</v>
      </c>
      <c r="BV8" t="s">
        <v>1816</v>
      </c>
      <c r="BW8" t="str">
        <f>HYPERLINK("https%3A%2F%2Fwww.webofscience.com%2Fwos%2Fwoscc%2Ffull-record%2FWOS:000362175700124","View Full Record in Web of Science")</f>
        <v>View Full Record in Web of Science</v>
      </c>
    </row>
    <row r="9" spans="1:75" x14ac:dyDescent="0.35">
      <c r="A9">
        <f>COUNTIF(Scopus!$E$2:$E$128,"="&amp;Tabelle6[[#This Row],[Article Title]])</f>
        <v>1</v>
      </c>
      <c r="B9">
        <v>1</v>
      </c>
      <c r="C9" s="1" t="s">
        <v>2148</v>
      </c>
      <c r="D9" t="s">
        <v>1321</v>
      </c>
      <c r="E9" t="s">
        <v>1709</v>
      </c>
      <c r="F9">
        <v>2017</v>
      </c>
      <c r="G9" t="s">
        <v>638</v>
      </c>
      <c r="H9" t="s">
        <v>28</v>
      </c>
      <c r="I9" t="s">
        <v>28</v>
      </c>
      <c r="J9" t="s">
        <v>28</v>
      </c>
      <c r="K9" t="s">
        <v>1710</v>
      </c>
      <c r="L9" t="s">
        <v>28</v>
      </c>
      <c r="M9" t="s">
        <v>28</v>
      </c>
      <c r="N9" t="s">
        <v>1563</v>
      </c>
      <c r="O9" t="s">
        <v>28</v>
      </c>
      <c r="P9" t="s">
        <v>28</v>
      </c>
      <c r="Q9" t="s">
        <v>2242</v>
      </c>
      <c r="R9" t="s">
        <v>34</v>
      </c>
      <c r="S9" t="s">
        <v>28</v>
      </c>
      <c r="T9" t="s">
        <v>28</v>
      </c>
      <c r="U9" t="s">
        <v>28</v>
      </c>
      <c r="V9" t="s">
        <v>28</v>
      </c>
      <c r="W9" t="s">
        <v>28</v>
      </c>
      <c r="X9" t="s">
        <v>2581</v>
      </c>
      <c r="Y9" t="s">
        <v>2582</v>
      </c>
      <c r="Z9" t="s">
        <v>2583</v>
      </c>
      <c r="AA9" t="s">
        <v>2584</v>
      </c>
      <c r="AB9" t="s">
        <v>28</v>
      </c>
      <c r="AC9" t="s">
        <v>2585</v>
      </c>
      <c r="AD9" t="s">
        <v>2586</v>
      </c>
      <c r="AE9" t="s">
        <v>1711</v>
      </c>
      <c r="AF9" t="s">
        <v>28</v>
      </c>
      <c r="AG9" t="s">
        <v>2587</v>
      </c>
      <c r="AH9" t="s">
        <v>2588</v>
      </c>
      <c r="AI9" t="s">
        <v>2589</v>
      </c>
      <c r="AJ9" t="s">
        <v>28</v>
      </c>
      <c r="AK9">
        <v>49</v>
      </c>
      <c r="AL9">
        <v>54</v>
      </c>
      <c r="AM9">
        <v>58</v>
      </c>
      <c r="AN9">
        <v>5</v>
      </c>
      <c r="AO9">
        <v>72</v>
      </c>
      <c r="AP9" t="s">
        <v>2293</v>
      </c>
      <c r="AQ9" t="s">
        <v>2294</v>
      </c>
      <c r="AR9" t="s">
        <v>2295</v>
      </c>
      <c r="AS9" t="s">
        <v>1565</v>
      </c>
      <c r="AT9" t="s">
        <v>1566</v>
      </c>
      <c r="AU9" t="s">
        <v>28</v>
      </c>
      <c r="AV9" t="s">
        <v>2550</v>
      </c>
      <c r="AW9" t="s">
        <v>2551</v>
      </c>
      <c r="AX9" t="s">
        <v>1596</v>
      </c>
      <c r="AY9">
        <v>28</v>
      </c>
      <c r="AZ9" t="s">
        <v>28</v>
      </c>
      <c r="BA9" t="s">
        <v>28</v>
      </c>
      <c r="BB9" t="s">
        <v>28</v>
      </c>
      <c r="BC9" t="s">
        <v>28</v>
      </c>
      <c r="BD9" t="s">
        <v>28</v>
      </c>
      <c r="BE9">
        <v>420</v>
      </c>
      <c r="BF9">
        <v>434</v>
      </c>
      <c r="BG9" t="s">
        <v>28</v>
      </c>
      <c r="BH9" t="s">
        <v>640</v>
      </c>
      <c r="BI9" t="str">
        <f>HYPERLINK("http://dx.doi.org/10.1016/j.scs.2016.10.001","http://dx.doi.org/10.1016/j.scs.2016.10.001")</f>
        <v>http://dx.doi.org/10.1016/j.scs.2016.10.001</v>
      </c>
      <c r="BJ9" t="s">
        <v>28</v>
      </c>
      <c r="BK9" t="s">
        <v>28</v>
      </c>
      <c r="BL9">
        <v>15</v>
      </c>
      <c r="BM9" t="s">
        <v>2552</v>
      </c>
      <c r="BN9" t="s">
        <v>2258</v>
      </c>
      <c r="BO9" t="s">
        <v>2553</v>
      </c>
      <c r="BP9" t="s">
        <v>2590</v>
      </c>
      <c r="BQ9" t="s">
        <v>28</v>
      </c>
      <c r="BR9" t="s">
        <v>2490</v>
      </c>
      <c r="BS9" t="s">
        <v>28</v>
      </c>
      <c r="BT9" t="s">
        <v>28</v>
      </c>
      <c r="BU9" t="s">
        <v>2261</v>
      </c>
      <c r="BV9" t="s">
        <v>1712</v>
      </c>
      <c r="BW9" t="str">
        <f>HYPERLINK("https%3A%2F%2Fwww.webofscience.com%2Fwos%2Fwoscc%2Ffull-record%2FWOS:000389322700039","View Full Record in Web of Science")</f>
        <v>View Full Record in Web of Science</v>
      </c>
    </row>
    <row r="10" spans="1:75" x14ac:dyDescent="0.35">
      <c r="A10">
        <f>COUNTIF(Scopus!$E$2:$E$128,"="&amp;Tabelle6[[#This Row],[Article Title]])</f>
        <v>1</v>
      </c>
      <c r="B10">
        <v>1</v>
      </c>
      <c r="C10" s="1" t="s">
        <v>2148</v>
      </c>
      <c r="D10" t="s">
        <v>1321</v>
      </c>
      <c r="E10" t="s">
        <v>1366</v>
      </c>
      <c r="F10">
        <v>2021</v>
      </c>
      <c r="G10" t="s">
        <v>122</v>
      </c>
      <c r="H10" t="s">
        <v>28</v>
      </c>
      <c r="I10" t="s">
        <v>28</v>
      </c>
      <c r="J10" t="s">
        <v>28</v>
      </c>
      <c r="K10" t="s">
        <v>1367</v>
      </c>
      <c r="L10" t="s">
        <v>28</v>
      </c>
      <c r="M10" t="s">
        <v>28</v>
      </c>
      <c r="N10" t="s">
        <v>1368</v>
      </c>
      <c r="O10" t="s">
        <v>28</v>
      </c>
      <c r="P10" t="s">
        <v>28</v>
      </c>
      <c r="Q10" t="s">
        <v>2242</v>
      </c>
      <c r="R10" t="s">
        <v>34</v>
      </c>
      <c r="S10" t="s">
        <v>28</v>
      </c>
      <c r="T10" t="s">
        <v>28</v>
      </c>
      <c r="U10" t="s">
        <v>28</v>
      </c>
      <c r="V10" t="s">
        <v>28</v>
      </c>
      <c r="W10" t="s">
        <v>28</v>
      </c>
      <c r="X10" t="s">
        <v>3062</v>
      </c>
      <c r="Y10" t="s">
        <v>3063</v>
      </c>
      <c r="Z10" t="s">
        <v>3064</v>
      </c>
      <c r="AA10" t="s">
        <v>3065</v>
      </c>
      <c r="AB10" t="s">
        <v>28</v>
      </c>
      <c r="AC10" t="s">
        <v>3066</v>
      </c>
      <c r="AD10" t="s">
        <v>3067</v>
      </c>
      <c r="AE10" t="s">
        <v>3068</v>
      </c>
      <c r="AF10" t="s">
        <v>3069</v>
      </c>
      <c r="AG10" t="s">
        <v>3070</v>
      </c>
      <c r="AH10" t="s">
        <v>3071</v>
      </c>
      <c r="AI10" t="s">
        <v>3072</v>
      </c>
      <c r="AJ10" t="s">
        <v>28</v>
      </c>
      <c r="AK10">
        <v>116</v>
      </c>
      <c r="AL10">
        <v>3</v>
      </c>
      <c r="AM10">
        <v>3</v>
      </c>
      <c r="AN10">
        <v>10</v>
      </c>
      <c r="AO10">
        <v>21</v>
      </c>
      <c r="AP10" t="s">
        <v>2860</v>
      </c>
      <c r="AQ10" t="s">
        <v>2861</v>
      </c>
      <c r="AR10" t="s">
        <v>2862</v>
      </c>
      <c r="AS10" t="s">
        <v>1369</v>
      </c>
      <c r="AT10" t="s">
        <v>1370</v>
      </c>
      <c r="AU10" t="s">
        <v>28</v>
      </c>
      <c r="AV10" t="s">
        <v>3073</v>
      </c>
      <c r="AW10" t="s">
        <v>3074</v>
      </c>
      <c r="AX10" t="s">
        <v>1371</v>
      </c>
      <c r="AY10">
        <v>37</v>
      </c>
      <c r="AZ10">
        <v>4</v>
      </c>
      <c r="BA10" t="s">
        <v>28</v>
      </c>
      <c r="BB10" t="s">
        <v>28</v>
      </c>
      <c r="BC10" t="s">
        <v>28</v>
      </c>
      <c r="BD10" t="s">
        <v>28</v>
      </c>
      <c r="BE10" t="s">
        <v>28</v>
      </c>
      <c r="BF10" t="s">
        <v>28</v>
      </c>
      <c r="BG10">
        <v>4021035</v>
      </c>
      <c r="BH10" t="s">
        <v>127</v>
      </c>
      <c r="BI10" t="str">
        <f>HYPERLINK("http://dx.doi.org/10.1061/(ASCE)ME.1943-5479.0000938","http://dx.doi.org/10.1061/(ASCE)ME.1943-5479.0000938")</f>
        <v>http://dx.doi.org/10.1061/(ASCE)ME.1943-5479.0000938</v>
      </c>
      <c r="BJ10" t="s">
        <v>28</v>
      </c>
      <c r="BK10" t="s">
        <v>28</v>
      </c>
      <c r="BL10">
        <v>17</v>
      </c>
      <c r="BM10" t="s">
        <v>3075</v>
      </c>
      <c r="BN10" t="s">
        <v>2314</v>
      </c>
      <c r="BO10" t="s">
        <v>2646</v>
      </c>
      <c r="BP10" t="s">
        <v>3076</v>
      </c>
      <c r="BQ10" t="s">
        <v>28</v>
      </c>
      <c r="BR10" t="s">
        <v>28</v>
      </c>
      <c r="BS10" t="s">
        <v>28</v>
      </c>
      <c r="BT10" t="s">
        <v>28</v>
      </c>
      <c r="BU10" t="s">
        <v>2261</v>
      </c>
      <c r="BV10" t="s">
        <v>1372</v>
      </c>
      <c r="BW10" t="str">
        <f>HYPERLINK("https%3A%2F%2Fwww.webofscience.com%2Fwos%2Fwoscc%2Ffull-record%2FWOS:000672204200012","View Full Record in Web of Science")</f>
        <v>View Full Record in Web of Science</v>
      </c>
    </row>
    <row r="11" spans="1:75" ht="17.5" customHeight="1" x14ac:dyDescent="0.35">
      <c r="A11">
        <f>COUNTIF(Scopus!$E$2:$E$128,"="&amp;Tabelle6[[#This Row],[Article Title]])</f>
        <v>0</v>
      </c>
      <c r="B11">
        <v>3</v>
      </c>
      <c r="C11" s="1" t="s">
        <v>2149</v>
      </c>
      <c r="D11" t="s">
        <v>1321</v>
      </c>
      <c r="E11" t="s">
        <v>3695</v>
      </c>
      <c r="F11">
        <v>2018</v>
      </c>
      <c r="G11" s="5" t="s">
        <v>3697</v>
      </c>
      <c r="H11" t="s">
        <v>28</v>
      </c>
      <c r="I11" t="s">
        <v>28</v>
      </c>
      <c r="J11" t="s">
        <v>28</v>
      </c>
      <c r="K11" t="s">
        <v>3696</v>
      </c>
      <c r="L11" t="s">
        <v>28</v>
      </c>
      <c r="M11" t="s">
        <v>28</v>
      </c>
      <c r="N11" t="s">
        <v>3698</v>
      </c>
      <c r="O11" t="s">
        <v>28</v>
      </c>
      <c r="P11" t="s">
        <v>28</v>
      </c>
      <c r="Q11" t="s">
        <v>2242</v>
      </c>
      <c r="R11" t="s">
        <v>34</v>
      </c>
      <c r="S11" t="s">
        <v>28</v>
      </c>
      <c r="T11" t="s">
        <v>28</v>
      </c>
      <c r="U11" t="s">
        <v>28</v>
      </c>
      <c r="V11" t="s">
        <v>28</v>
      </c>
      <c r="W11" t="s">
        <v>28</v>
      </c>
      <c r="X11" t="s">
        <v>3699</v>
      </c>
      <c r="Y11" t="s">
        <v>3700</v>
      </c>
      <c r="Z11" t="s">
        <v>3701</v>
      </c>
      <c r="AA11" t="s">
        <v>3702</v>
      </c>
      <c r="AB11" t="s">
        <v>28</v>
      </c>
      <c r="AC11" t="s">
        <v>3703</v>
      </c>
      <c r="AD11" t="s">
        <v>3704</v>
      </c>
      <c r="AE11" t="s">
        <v>28</v>
      </c>
      <c r="AF11" t="s">
        <v>28</v>
      </c>
      <c r="AG11" t="s">
        <v>3705</v>
      </c>
      <c r="AH11" t="s">
        <v>3706</v>
      </c>
      <c r="AI11" t="s">
        <v>3707</v>
      </c>
      <c r="AJ11" t="s">
        <v>28</v>
      </c>
      <c r="AK11">
        <v>90</v>
      </c>
      <c r="AL11">
        <v>4</v>
      </c>
      <c r="AM11">
        <v>4</v>
      </c>
      <c r="AN11">
        <v>0</v>
      </c>
      <c r="AO11">
        <v>27</v>
      </c>
      <c r="AP11" t="s">
        <v>2327</v>
      </c>
      <c r="AQ11" t="s">
        <v>2328</v>
      </c>
      <c r="AR11" t="s">
        <v>2329</v>
      </c>
      <c r="AS11" t="s">
        <v>3708</v>
      </c>
      <c r="AT11" t="s">
        <v>3709</v>
      </c>
      <c r="AU11" t="s">
        <v>28</v>
      </c>
      <c r="AV11" t="s">
        <v>3710</v>
      </c>
      <c r="AW11" t="s">
        <v>3711</v>
      </c>
      <c r="AX11" t="s">
        <v>1701</v>
      </c>
      <c r="AY11">
        <v>11</v>
      </c>
      <c r="AZ11">
        <v>1</v>
      </c>
      <c r="BA11" t="s">
        <v>28</v>
      </c>
      <c r="BB11" t="s">
        <v>28</v>
      </c>
      <c r="BC11" t="s">
        <v>28</v>
      </c>
      <c r="BD11" t="s">
        <v>28</v>
      </c>
      <c r="BE11">
        <v>147</v>
      </c>
      <c r="BF11">
        <v>181</v>
      </c>
      <c r="BG11" t="s">
        <v>28</v>
      </c>
      <c r="BH11" t="s">
        <v>3712</v>
      </c>
      <c r="BI11" t="str">
        <f>HYPERLINK("http://dx.doi.org/10.1007/s12061-016-9197-z","http://dx.doi.org/10.1007/s12061-016-9197-z")</f>
        <v>http://dx.doi.org/10.1007/s12061-016-9197-z</v>
      </c>
      <c r="BJ11" t="s">
        <v>28</v>
      </c>
      <c r="BK11" t="s">
        <v>28</v>
      </c>
      <c r="BL11">
        <v>35</v>
      </c>
      <c r="BM11" t="s">
        <v>3713</v>
      </c>
      <c r="BN11" t="s">
        <v>2465</v>
      </c>
      <c r="BO11" t="s">
        <v>3714</v>
      </c>
      <c r="BP11" t="s">
        <v>3715</v>
      </c>
      <c r="BQ11" t="s">
        <v>28</v>
      </c>
      <c r="BR11" t="s">
        <v>28</v>
      </c>
      <c r="BS11" t="s">
        <v>28</v>
      </c>
      <c r="BT11" t="s">
        <v>28</v>
      </c>
      <c r="BU11" t="s">
        <v>2261</v>
      </c>
      <c r="BV11" t="s">
        <v>3716</v>
      </c>
      <c r="BW11" t="str">
        <f>HYPERLINK("https%3A%2F%2Fwww.webofscience.com%2Fwos%2Fwoscc%2Ffull-record%2FWOS:000424245000008","View Full Record in Web of Science")</f>
        <v>View Full Record in Web of Science</v>
      </c>
    </row>
    <row r="12" spans="1:75" x14ac:dyDescent="0.35">
      <c r="A12">
        <f>COUNTIF(Scopus!$E$2:$E$128,"="&amp;Tabelle6[[#This Row],[Article Title]])</f>
        <v>1</v>
      </c>
      <c r="B12">
        <v>1</v>
      </c>
      <c r="C12" s="1" t="s">
        <v>2148</v>
      </c>
      <c r="D12" t="s">
        <v>1321</v>
      </c>
      <c r="E12" t="s">
        <v>2920</v>
      </c>
      <c r="F12" t="s">
        <v>28</v>
      </c>
      <c r="G12" t="s">
        <v>2922</v>
      </c>
      <c r="H12" t="s">
        <v>28</v>
      </c>
      <c r="I12" t="s">
        <v>28</v>
      </c>
      <c r="J12" t="s">
        <v>28</v>
      </c>
      <c r="K12" t="s">
        <v>2921</v>
      </c>
      <c r="L12" t="s">
        <v>28</v>
      </c>
      <c r="M12" t="s">
        <v>28</v>
      </c>
      <c r="N12" t="s">
        <v>1693</v>
      </c>
      <c r="O12" t="s">
        <v>28</v>
      </c>
      <c r="P12" t="s">
        <v>28</v>
      </c>
      <c r="Q12" t="s">
        <v>2242</v>
      </c>
      <c r="R12" t="s">
        <v>2720</v>
      </c>
      <c r="S12" t="s">
        <v>28</v>
      </c>
      <c r="T12" t="s">
        <v>28</v>
      </c>
      <c r="U12" t="s">
        <v>28</v>
      </c>
      <c r="V12" t="s">
        <v>28</v>
      </c>
      <c r="W12" t="s">
        <v>28</v>
      </c>
      <c r="X12" t="s">
        <v>2923</v>
      </c>
      <c r="Y12" t="s">
        <v>2924</v>
      </c>
      <c r="Z12" t="s">
        <v>2925</v>
      </c>
      <c r="AA12" t="s">
        <v>2926</v>
      </c>
      <c r="AB12" t="s">
        <v>28</v>
      </c>
      <c r="AC12" t="s">
        <v>2927</v>
      </c>
      <c r="AD12" t="s">
        <v>2928</v>
      </c>
      <c r="AE12" t="s">
        <v>28</v>
      </c>
      <c r="AF12" t="s">
        <v>28</v>
      </c>
      <c r="AG12" t="s">
        <v>28</v>
      </c>
      <c r="AH12" t="s">
        <v>28</v>
      </c>
      <c r="AI12" t="s">
        <v>28</v>
      </c>
      <c r="AJ12" t="s">
        <v>28</v>
      </c>
      <c r="AK12">
        <v>88</v>
      </c>
      <c r="AL12">
        <v>0</v>
      </c>
      <c r="AM12">
        <v>0</v>
      </c>
      <c r="AN12">
        <v>14</v>
      </c>
      <c r="AO12">
        <v>14</v>
      </c>
      <c r="AP12" t="s">
        <v>2786</v>
      </c>
      <c r="AQ12" t="s">
        <v>2787</v>
      </c>
      <c r="AR12" t="s">
        <v>2788</v>
      </c>
      <c r="AS12" t="s">
        <v>1694</v>
      </c>
      <c r="AT12" t="s">
        <v>1695</v>
      </c>
      <c r="AU12" t="s">
        <v>28</v>
      </c>
      <c r="AV12" t="s">
        <v>2929</v>
      </c>
      <c r="AW12" t="s">
        <v>2930</v>
      </c>
      <c r="AX12" t="s">
        <v>28</v>
      </c>
      <c r="AY12" t="s">
        <v>28</v>
      </c>
      <c r="AZ12" t="s">
        <v>28</v>
      </c>
      <c r="BA12" t="s">
        <v>28</v>
      </c>
      <c r="BB12" t="s">
        <v>28</v>
      </c>
      <c r="BC12" t="s">
        <v>28</v>
      </c>
      <c r="BD12" t="s">
        <v>28</v>
      </c>
      <c r="BE12" t="s">
        <v>28</v>
      </c>
      <c r="BF12" t="s">
        <v>28</v>
      </c>
      <c r="BG12" t="s">
        <v>28</v>
      </c>
      <c r="BH12" t="s">
        <v>2931</v>
      </c>
      <c r="BI12" t="str">
        <f>HYPERLINK("http://dx.doi.org/10.1007/s11356-022-19392-8","http://dx.doi.org/10.1007/s11356-022-19392-8")</f>
        <v>http://dx.doi.org/10.1007/s11356-022-19392-8</v>
      </c>
      <c r="BJ12" t="s">
        <v>28</v>
      </c>
      <c r="BK12" t="s">
        <v>2932</v>
      </c>
      <c r="BL12">
        <v>14</v>
      </c>
      <c r="BM12" t="s">
        <v>2435</v>
      </c>
      <c r="BN12" t="s">
        <v>2314</v>
      </c>
      <c r="BO12" t="s">
        <v>2436</v>
      </c>
      <c r="BP12" t="s">
        <v>2933</v>
      </c>
      <c r="BQ12">
        <v>35394626</v>
      </c>
      <c r="BR12" t="s">
        <v>28</v>
      </c>
      <c r="BS12" t="s">
        <v>28</v>
      </c>
      <c r="BT12" t="s">
        <v>28</v>
      </c>
      <c r="BU12" t="s">
        <v>2261</v>
      </c>
      <c r="BV12" t="s">
        <v>2934</v>
      </c>
      <c r="BW12" t="str">
        <f>HYPERLINK("https%3A%2F%2Fwww.webofscience.com%2Fwos%2Fwoscc%2Ffull-record%2FWOS:000781219000008","View Full Record in Web of Science")</f>
        <v>View Full Record in Web of Science</v>
      </c>
    </row>
    <row r="13" spans="1:75" x14ac:dyDescent="0.35">
      <c r="A13">
        <f>COUNTIF(Scopus!$E$2:$E$128,"="&amp;Tabelle6[[#This Row],[Article Title]])</f>
        <v>1</v>
      </c>
      <c r="B13">
        <v>1</v>
      </c>
      <c r="C13" s="1" t="s">
        <v>2148</v>
      </c>
      <c r="D13" t="s">
        <v>1321</v>
      </c>
      <c r="E13" t="s">
        <v>2089</v>
      </c>
      <c r="F13">
        <v>2005</v>
      </c>
      <c r="G13" t="s">
        <v>2090</v>
      </c>
      <c r="H13" t="s">
        <v>28</v>
      </c>
      <c r="I13" t="s">
        <v>28</v>
      </c>
      <c r="J13" t="s">
        <v>28</v>
      </c>
      <c r="K13" t="s">
        <v>2089</v>
      </c>
      <c r="L13" t="s">
        <v>28</v>
      </c>
      <c r="M13" t="s">
        <v>28</v>
      </c>
      <c r="N13" t="s">
        <v>2091</v>
      </c>
      <c r="O13" t="s">
        <v>28</v>
      </c>
      <c r="P13" t="s">
        <v>28</v>
      </c>
      <c r="Q13" t="s">
        <v>2242</v>
      </c>
      <c r="R13" t="s">
        <v>34</v>
      </c>
      <c r="S13" t="s">
        <v>28</v>
      </c>
      <c r="T13" t="s">
        <v>28</v>
      </c>
      <c r="U13" t="s">
        <v>28</v>
      </c>
      <c r="V13" t="s">
        <v>28</v>
      </c>
      <c r="W13" t="s">
        <v>28</v>
      </c>
      <c r="X13" t="s">
        <v>2302</v>
      </c>
      <c r="Y13" t="s">
        <v>2303</v>
      </c>
      <c r="Z13" t="s">
        <v>2304</v>
      </c>
      <c r="AA13" t="s">
        <v>2305</v>
      </c>
      <c r="AB13" t="s">
        <v>28</v>
      </c>
      <c r="AC13" t="s">
        <v>2306</v>
      </c>
      <c r="AD13" t="s">
        <v>2307</v>
      </c>
      <c r="AE13" t="s">
        <v>2092</v>
      </c>
      <c r="AF13" t="s">
        <v>2093</v>
      </c>
      <c r="AG13" t="s">
        <v>28</v>
      </c>
      <c r="AH13" t="s">
        <v>28</v>
      </c>
      <c r="AI13" t="s">
        <v>28</v>
      </c>
      <c r="AJ13" t="s">
        <v>28</v>
      </c>
      <c r="AK13">
        <v>49</v>
      </c>
      <c r="AL13">
        <v>80</v>
      </c>
      <c r="AM13">
        <v>82</v>
      </c>
      <c r="AN13">
        <v>0</v>
      </c>
      <c r="AO13">
        <v>38</v>
      </c>
      <c r="AP13" t="s">
        <v>2308</v>
      </c>
      <c r="AQ13" t="s">
        <v>2309</v>
      </c>
      <c r="AR13" t="s">
        <v>2310</v>
      </c>
      <c r="AS13" t="s">
        <v>2094</v>
      </c>
      <c r="AT13" t="s">
        <v>2095</v>
      </c>
      <c r="AU13" t="s">
        <v>28</v>
      </c>
      <c r="AV13" t="s">
        <v>2311</v>
      </c>
      <c r="AW13" t="s">
        <v>2312</v>
      </c>
      <c r="AX13" t="s">
        <v>1701</v>
      </c>
      <c r="AY13">
        <v>81</v>
      </c>
      <c r="AZ13">
        <v>3</v>
      </c>
      <c r="BA13" t="s">
        <v>28</v>
      </c>
      <c r="BB13" t="s">
        <v>28</v>
      </c>
      <c r="BC13" t="s">
        <v>28</v>
      </c>
      <c r="BD13" t="s">
        <v>28</v>
      </c>
      <c r="BE13">
        <v>175</v>
      </c>
      <c r="BF13">
        <v>187</v>
      </c>
      <c r="BG13" t="s">
        <v>28</v>
      </c>
      <c r="BH13" t="s">
        <v>1223</v>
      </c>
      <c r="BI13" t="str">
        <f>HYPERLINK("http://dx.doi.org/10.1177/0037549705053172","http://dx.doi.org/10.1177/0037549705053172")</f>
        <v>http://dx.doi.org/10.1177/0037549705053172</v>
      </c>
      <c r="BJ13" t="s">
        <v>28</v>
      </c>
      <c r="BK13" t="s">
        <v>28</v>
      </c>
      <c r="BL13">
        <v>13</v>
      </c>
      <c r="BM13" t="s">
        <v>2313</v>
      </c>
      <c r="BN13" t="s">
        <v>2314</v>
      </c>
      <c r="BO13" t="s">
        <v>2315</v>
      </c>
      <c r="BP13" t="s">
        <v>2316</v>
      </c>
      <c r="BQ13" t="s">
        <v>28</v>
      </c>
      <c r="BR13" t="s">
        <v>2317</v>
      </c>
      <c r="BS13" t="s">
        <v>28</v>
      </c>
      <c r="BT13" t="s">
        <v>28</v>
      </c>
      <c r="BU13" t="s">
        <v>2261</v>
      </c>
      <c r="BV13" t="s">
        <v>2096</v>
      </c>
      <c r="BW13" t="str">
        <f>HYPERLINK("https%3A%2F%2Fwww.webofscience.com%2Fwos%2Fwoscc%2Ffull-record%2FWOS:000229806400002","View Full Record in Web of Science")</f>
        <v>View Full Record in Web of Science</v>
      </c>
    </row>
    <row r="14" spans="1:75" x14ac:dyDescent="0.35">
      <c r="A14">
        <f>COUNTIF(Scopus!$E$2:$E$128,"="&amp;Tabelle6[[#This Row],[Article Title]])</f>
        <v>0</v>
      </c>
      <c r="B14">
        <v>4</v>
      </c>
      <c r="C14" s="1" t="s">
        <v>4535</v>
      </c>
      <c r="D14" t="s">
        <v>1321</v>
      </c>
      <c r="E14" t="s">
        <v>1536</v>
      </c>
      <c r="F14">
        <v>2019</v>
      </c>
      <c r="G14" t="s">
        <v>1538</v>
      </c>
      <c r="H14" t="s">
        <v>28</v>
      </c>
      <c r="I14" t="s">
        <v>28</v>
      </c>
      <c r="J14" t="s">
        <v>28</v>
      </c>
      <c r="K14" t="s">
        <v>1537</v>
      </c>
      <c r="L14" t="s">
        <v>28</v>
      </c>
      <c r="M14" t="s">
        <v>28</v>
      </c>
      <c r="N14" t="s">
        <v>1539</v>
      </c>
      <c r="O14" t="s">
        <v>28</v>
      </c>
      <c r="P14" t="s">
        <v>28</v>
      </c>
      <c r="Q14" t="s">
        <v>2242</v>
      </c>
      <c r="R14" t="s">
        <v>34</v>
      </c>
      <c r="S14" t="s">
        <v>28</v>
      </c>
      <c r="T14" t="s">
        <v>28</v>
      </c>
      <c r="U14" t="s">
        <v>28</v>
      </c>
      <c r="V14" t="s">
        <v>28</v>
      </c>
      <c r="W14" t="s">
        <v>28</v>
      </c>
      <c r="X14" t="s">
        <v>3522</v>
      </c>
      <c r="Y14" t="s">
        <v>3523</v>
      </c>
      <c r="Z14" t="s">
        <v>3524</v>
      </c>
      <c r="AA14" t="s">
        <v>3525</v>
      </c>
      <c r="AB14" t="s">
        <v>28</v>
      </c>
      <c r="AC14" t="s">
        <v>3526</v>
      </c>
      <c r="AD14" t="s">
        <v>3527</v>
      </c>
      <c r="AE14" t="s">
        <v>28</v>
      </c>
      <c r="AF14" t="s">
        <v>1540</v>
      </c>
      <c r="AG14" t="s">
        <v>3528</v>
      </c>
      <c r="AH14" t="s">
        <v>3529</v>
      </c>
      <c r="AI14" t="s">
        <v>3530</v>
      </c>
      <c r="AJ14" t="s">
        <v>28</v>
      </c>
      <c r="AK14">
        <v>62</v>
      </c>
      <c r="AL14">
        <v>11</v>
      </c>
      <c r="AM14">
        <v>11</v>
      </c>
      <c r="AN14">
        <v>5</v>
      </c>
      <c r="AO14">
        <v>46</v>
      </c>
      <c r="AP14" t="s">
        <v>2656</v>
      </c>
      <c r="AQ14" t="s">
        <v>2309</v>
      </c>
      <c r="AR14" t="s">
        <v>2657</v>
      </c>
      <c r="AS14" t="s">
        <v>1541</v>
      </c>
      <c r="AT14" t="s">
        <v>1542</v>
      </c>
      <c r="AU14" t="s">
        <v>28</v>
      </c>
      <c r="AV14" t="s">
        <v>2658</v>
      </c>
      <c r="AW14" t="s">
        <v>2659</v>
      </c>
      <c r="AX14" t="s">
        <v>1371</v>
      </c>
      <c r="AY14">
        <v>241</v>
      </c>
      <c r="AZ14" t="s">
        <v>28</v>
      </c>
      <c r="BA14" t="s">
        <v>28</v>
      </c>
      <c r="BB14" t="s">
        <v>28</v>
      </c>
      <c r="BC14" t="s">
        <v>28</v>
      </c>
      <c r="BD14" t="s">
        <v>28</v>
      </c>
      <c r="BE14">
        <v>407</v>
      </c>
      <c r="BF14">
        <v>417</v>
      </c>
      <c r="BG14" t="s">
        <v>28</v>
      </c>
      <c r="BH14" t="s">
        <v>1543</v>
      </c>
      <c r="BI14" t="str">
        <f>HYPERLINK("http://dx.doi.org/10.1016/j.jenvman.2019.03.138","http://dx.doi.org/10.1016/j.jenvman.2019.03.138")</f>
        <v>http://dx.doi.org/10.1016/j.jenvman.2019.03.138</v>
      </c>
      <c r="BJ14" t="s">
        <v>28</v>
      </c>
      <c r="BK14" t="s">
        <v>28</v>
      </c>
      <c r="BL14">
        <v>11</v>
      </c>
      <c r="BM14" t="s">
        <v>2435</v>
      </c>
      <c r="BN14" t="s">
        <v>2258</v>
      </c>
      <c r="BO14" t="s">
        <v>2436</v>
      </c>
      <c r="BP14" t="s">
        <v>3531</v>
      </c>
      <c r="BQ14">
        <v>31030122</v>
      </c>
      <c r="BR14" t="s">
        <v>28</v>
      </c>
      <c r="BS14" t="s">
        <v>28</v>
      </c>
      <c r="BT14" t="s">
        <v>28</v>
      </c>
      <c r="BU14" t="s">
        <v>2261</v>
      </c>
      <c r="BV14" t="s">
        <v>1544</v>
      </c>
      <c r="BW14" t="str">
        <f>HYPERLINK("https%3A%2F%2Fwww.webofscience.com%2Fwos%2Fwoscc%2Ffull-record%2FWOS:000469896300041","View Full Record in Web of Science")</f>
        <v>View Full Record in Web of Science</v>
      </c>
    </row>
    <row r="15" spans="1:75" x14ac:dyDescent="0.35">
      <c r="A15">
        <f>COUNTIF(Scopus!$E$2:$E$128,"="&amp;Tabelle6[[#This Row],[Article Title]])</f>
        <v>1</v>
      </c>
      <c r="B15">
        <v>1</v>
      </c>
      <c r="C15" s="1" t="s">
        <v>2148</v>
      </c>
      <c r="D15" t="s">
        <v>1321</v>
      </c>
      <c r="E15" t="s">
        <v>1633</v>
      </c>
      <c r="F15">
        <v>2018</v>
      </c>
      <c r="G15" t="s">
        <v>490</v>
      </c>
      <c r="H15" t="s">
        <v>28</v>
      </c>
      <c r="I15" t="s">
        <v>28</v>
      </c>
      <c r="J15" t="s">
        <v>28</v>
      </c>
      <c r="K15" t="s">
        <v>1634</v>
      </c>
      <c r="L15" t="s">
        <v>28</v>
      </c>
      <c r="M15" t="s">
        <v>28</v>
      </c>
      <c r="N15" t="s">
        <v>1635</v>
      </c>
      <c r="O15" t="s">
        <v>28</v>
      </c>
      <c r="P15" t="s">
        <v>28</v>
      </c>
      <c r="Q15" t="s">
        <v>2242</v>
      </c>
      <c r="R15" t="s">
        <v>34</v>
      </c>
      <c r="S15" t="s">
        <v>28</v>
      </c>
      <c r="T15" t="s">
        <v>28</v>
      </c>
      <c r="U15" t="s">
        <v>28</v>
      </c>
      <c r="V15" t="s">
        <v>28</v>
      </c>
      <c r="W15" t="s">
        <v>28</v>
      </c>
      <c r="X15" t="s">
        <v>3167</v>
      </c>
      <c r="Y15" t="s">
        <v>3168</v>
      </c>
      <c r="Z15" t="s">
        <v>3169</v>
      </c>
      <c r="AA15" t="s">
        <v>3170</v>
      </c>
      <c r="AB15" t="s">
        <v>28</v>
      </c>
      <c r="AC15" t="s">
        <v>3171</v>
      </c>
      <c r="AD15" t="s">
        <v>3172</v>
      </c>
      <c r="AE15" t="s">
        <v>28</v>
      </c>
      <c r="AF15" t="s">
        <v>1636</v>
      </c>
      <c r="AG15" t="s">
        <v>3173</v>
      </c>
      <c r="AH15" t="s">
        <v>3174</v>
      </c>
      <c r="AI15" t="s">
        <v>3175</v>
      </c>
      <c r="AJ15" t="s">
        <v>28</v>
      </c>
      <c r="AK15">
        <v>42</v>
      </c>
      <c r="AL15">
        <v>1</v>
      </c>
      <c r="AM15">
        <v>1</v>
      </c>
      <c r="AN15">
        <v>16</v>
      </c>
      <c r="AO15">
        <v>20</v>
      </c>
      <c r="AP15" t="s">
        <v>2786</v>
      </c>
      <c r="AQ15" t="s">
        <v>2787</v>
      </c>
      <c r="AR15" t="s">
        <v>2788</v>
      </c>
      <c r="AS15" t="s">
        <v>1637</v>
      </c>
      <c r="AT15" t="s">
        <v>1638</v>
      </c>
      <c r="AU15" t="s">
        <v>28</v>
      </c>
      <c r="AV15" t="s">
        <v>3176</v>
      </c>
      <c r="AW15" t="s">
        <v>3177</v>
      </c>
      <c r="AX15" t="s">
        <v>1401</v>
      </c>
      <c r="AY15">
        <v>18</v>
      </c>
      <c r="AZ15">
        <v>4</v>
      </c>
      <c r="BA15" t="s">
        <v>28</v>
      </c>
      <c r="BB15" t="s">
        <v>28</v>
      </c>
      <c r="BC15" t="s">
        <v>1639</v>
      </c>
      <c r="BD15" t="s">
        <v>28</v>
      </c>
      <c r="BE15">
        <v>1161</v>
      </c>
      <c r="BF15">
        <v>1172</v>
      </c>
      <c r="BG15" t="s">
        <v>28</v>
      </c>
      <c r="BH15" t="s">
        <v>493</v>
      </c>
      <c r="BI15" t="str">
        <f>HYPERLINK("http://dx.doi.org/10.1007/s10113-017-1243-0","http://dx.doi.org/10.1007/s10113-017-1243-0")</f>
        <v>http://dx.doi.org/10.1007/s10113-017-1243-0</v>
      </c>
      <c r="BJ15" t="s">
        <v>28</v>
      </c>
      <c r="BK15" t="s">
        <v>28</v>
      </c>
      <c r="BL15">
        <v>12</v>
      </c>
      <c r="BM15" t="s">
        <v>3178</v>
      </c>
      <c r="BN15" t="s">
        <v>2258</v>
      </c>
      <c r="BO15" t="s">
        <v>2436</v>
      </c>
      <c r="BP15" t="s">
        <v>3179</v>
      </c>
      <c r="BQ15" t="s">
        <v>28</v>
      </c>
      <c r="BR15" t="s">
        <v>2848</v>
      </c>
      <c r="BS15" t="s">
        <v>28</v>
      </c>
      <c r="BT15" t="s">
        <v>28</v>
      </c>
      <c r="BU15" t="s">
        <v>2261</v>
      </c>
      <c r="BV15" t="s">
        <v>1640</v>
      </c>
      <c r="BW15" t="str">
        <f>HYPERLINK("https%3A%2F%2Fwww.webofscience.com%2Fwos%2Fwoscc%2Ffull-record%2FWOS:000429358700019","View Full Record in Web of Science")</f>
        <v>View Full Record in Web of Science</v>
      </c>
    </row>
    <row r="16" spans="1:75" x14ac:dyDescent="0.35">
      <c r="A16">
        <f>COUNTIF(Scopus!$E$2:$E$128,"="&amp;Tabelle6[[#This Row],[Article Title]])</f>
        <v>0</v>
      </c>
      <c r="B16">
        <v>3</v>
      </c>
      <c r="C16" s="1" t="s">
        <v>2149</v>
      </c>
      <c r="D16" t="s">
        <v>1321</v>
      </c>
      <c r="E16" t="s">
        <v>1756</v>
      </c>
      <c r="F16">
        <v>2016</v>
      </c>
      <c r="G16" t="s">
        <v>1758</v>
      </c>
      <c r="H16" t="s">
        <v>28</v>
      </c>
      <c r="I16" t="s">
        <v>28</v>
      </c>
      <c r="J16" t="s">
        <v>28</v>
      </c>
      <c r="K16" t="s">
        <v>1757</v>
      </c>
      <c r="L16" t="s">
        <v>28</v>
      </c>
      <c r="M16" t="s">
        <v>28</v>
      </c>
      <c r="N16" t="s">
        <v>1539</v>
      </c>
      <c r="O16" t="s">
        <v>28</v>
      </c>
      <c r="P16" t="s">
        <v>28</v>
      </c>
      <c r="Q16" t="s">
        <v>2242</v>
      </c>
      <c r="R16" t="s">
        <v>34</v>
      </c>
      <c r="S16" t="s">
        <v>28</v>
      </c>
      <c r="T16" t="s">
        <v>28</v>
      </c>
      <c r="U16" t="s">
        <v>28</v>
      </c>
      <c r="V16" t="s">
        <v>28</v>
      </c>
      <c r="W16" t="s">
        <v>28</v>
      </c>
      <c r="X16" t="s">
        <v>2649</v>
      </c>
      <c r="Y16" t="s">
        <v>2650</v>
      </c>
      <c r="Z16" t="s">
        <v>2651</v>
      </c>
      <c r="AA16" t="s">
        <v>2652</v>
      </c>
      <c r="AB16" t="s">
        <v>28</v>
      </c>
      <c r="AC16" t="s">
        <v>2653</v>
      </c>
      <c r="AD16" t="s">
        <v>2654</v>
      </c>
      <c r="AE16" t="s">
        <v>28</v>
      </c>
      <c r="AF16" t="s">
        <v>2655</v>
      </c>
      <c r="AG16" t="s">
        <v>28</v>
      </c>
      <c r="AH16" t="s">
        <v>28</v>
      </c>
      <c r="AI16" t="s">
        <v>28</v>
      </c>
      <c r="AJ16" t="s">
        <v>28</v>
      </c>
      <c r="AK16">
        <v>46</v>
      </c>
      <c r="AL16">
        <v>11</v>
      </c>
      <c r="AM16">
        <v>12</v>
      </c>
      <c r="AN16">
        <v>6</v>
      </c>
      <c r="AO16">
        <v>56</v>
      </c>
      <c r="AP16" t="s">
        <v>2656</v>
      </c>
      <c r="AQ16" t="s">
        <v>2309</v>
      </c>
      <c r="AR16" t="s">
        <v>2657</v>
      </c>
      <c r="AS16" t="s">
        <v>1541</v>
      </c>
      <c r="AT16" t="s">
        <v>1542</v>
      </c>
      <c r="AU16" t="s">
        <v>28</v>
      </c>
      <c r="AV16" t="s">
        <v>2658</v>
      </c>
      <c r="AW16" t="s">
        <v>2659</v>
      </c>
      <c r="AX16" t="s">
        <v>1759</v>
      </c>
      <c r="AY16">
        <v>165</v>
      </c>
      <c r="AZ16" t="s">
        <v>28</v>
      </c>
      <c r="BA16" t="s">
        <v>28</v>
      </c>
      <c r="BB16" t="s">
        <v>28</v>
      </c>
      <c r="BC16" t="s">
        <v>28</v>
      </c>
      <c r="BD16" t="s">
        <v>28</v>
      </c>
      <c r="BE16">
        <v>298</v>
      </c>
      <c r="BF16">
        <v>312</v>
      </c>
      <c r="BG16" t="s">
        <v>28</v>
      </c>
      <c r="BH16" t="s">
        <v>1760</v>
      </c>
      <c r="BI16" t="str">
        <f>HYPERLINK("http://dx.doi.org/10.1016/j.jenvman.2014.12.001","http://dx.doi.org/10.1016/j.jenvman.2014.12.001")</f>
        <v>http://dx.doi.org/10.1016/j.jenvman.2014.12.001</v>
      </c>
      <c r="BJ16" t="s">
        <v>28</v>
      </c>
      <c r="BK16" t="s">
        <v>28</v>
      </c>
      <c r="BL16">
        <v>15</v>
      </c>
      <c r="BM16" t="s">
        <v>2435</v>
      </c>
      <c r="BN16" t="s">
        <v>2258</v>
      </c>
      <c r="BO16" t="s">
        <v>2436</v>
      </c>
      <c r="BP16" t="s">
        <v>2660</v>
      </c>
      <c r="BQ16">
        <v>26431614</v>
      </c>
      <c r="BR16" t="s">
        <v>28</v>
      </c>
      <c r="BS16" t="s">
        <v>28</v>
      </c>
      <c r="BT16" t="s">
        <v>28</v>
      </c>
      <c r="BU16" t="s">
        <v>2261</v>
      </c>
      <c r="BV16" t="s">
        <v>1761</v>
      </c>
      <c r="BW16" t="str">
        <f>HYPERLINK("https%3A%2F%2Fwww.webofscience.com%2Fwos%2Fwoscc%2Ffull-record%2FWOS:000364613200034","View Full Record in Web of Science")</f>
        <v>View Full Record in Web of Science</v>
      </c>
    </row>
    <row r="17" spans="1:75" x14ac:dyDescent="0.35">
      <c r="A17">
        <f>COUNTIF(Scopus!$E$2:$E$128,"="&amp;Tabelle6[[#This Row],[Article Title]])</f>
        <v>1</v>
      </c>
      <c r="B17">
        <v>1</v>
      </c>
      <c r="C17" s="1" t="s">
        <v>2148</v>
      </c>
      <c r="D17" t="s">
        <v>1321</v>
      </c>
      <c r="E17" t="s">
        <v>2034</v>
      </c>
      <c r="F17">
        <v>2008</v>
      </c>
      <c r="G17" t="s">
        <v>1114</v>
      </c>
      <c r="H17" t="s">
        <v>28</v>
      </c>
      <c r="I17" t="s">
        <v>28</v>
      </c>
      <c r="J17" t="s">
        <v>28</v>
      </c>
      <c r="K17" t="s">
        <v>2035</v>
      </c>
      <c r="L17" t="s">
        <v>28</v>
      </c>
      <c r="M17" t="s">
        <v>28</v>
      </c>
      <c r="N17" t="s">
        <v>1623</v>
      </c>
      <c r="O17" t="s">
        <v>28</v>
      </c>
      <c r="P17" t="s">
        <v>28</v>
      </c>
      <c r="Q17" t="s">
        <v>2242</v>
      </c>
      <c r="R17" t="s">
        <v>34</v>
      </c>
      <c r="S17" t="s">
        <v>28</v>
      </c>
      <c r="T17" t="s">
        <v>28</v>
      </c>
      <c r="U17" t="s">
        <v>28</v>
      </c>
      <c r="V17" t="s">
        <v>28</v>
      </c>
      <c r="W17" t="s">
        <v>28</v>
      </c>
      <c r="X17" t="s">
        <v>3158</v>
      </c>
      <c r="Y17" t="s">
        <v>3159</v>
      </c>
      <c r="Z17" t="s">
        <v>3160</v>
      </c>
      <c r="AA17" t="s">
        <v>3161</v>
      </c>
      <c r="AB17" t="s">
        <v>28</v>
      </c>
      <c r="AC17" t="s">
        <v>3162</v>
      </c>
      <c r="AD17" t="s">
        <v>3163</v>
      </c>
      <c r="AE17" t="s">
        <v>3164</v>
      </c>
      <c r="AF17" t="s">
        <v>3165</v>
      </c>
      <c r="AG17" t="s">
        <v>28</v>
      </c>
      <c r="AH17" t="s">
        <v>28</v>
      </c>
      <c r="AI17" t="s">
        <v>28</v>
      </c>
      <c r="AJ17" t="s">
        <v>28</v>
      </c>
      <c r="AK17">
        <v>89</v>
      </c>
      <c r="AL17">
        <v>74</v>
      </c>
      <c r="AM17">
        <v>77</v>
      </c>
      <c r="AN17">
        <v>1</v>
      </c>
      <c r="AO17">
        <v>41</v>
      </c>
      <c r="AP17" t="s">
        <v>2252</v>
      </c>
      <c r="AQ17" t="s">
        <v>2253</v>
      </c>
      <c r="AR17" t="s">
        <v>2254</v>
      </c>
      <c r="AS17" t="s">
        <v>1624</v>
      </c>
      <c r="AT17" t="s">
        <v>1625</v>
      </c>
      <c r="AU17" t="s">
        <v>28</v>
      </c>
      <c r="AV17" t="s">
        <v>2255</v>
      </c>
      <c r="AW17" t="s">
        <v>2256</v>
      </c>
      <c r="AX17" t="s">
        <v>1356</v>
      </c>
      <c r="AY17">
        <v>23</v>
      </c>
      <c r="AZ17">
        <v>9</v>
      </c>
      <c r="BA17" t="s">
        <v>28</v>
      </c>
      <c r="BB17" t="s">
        <v>28</v>
      </c>
      <c r="BC17" t="s">
        <v>28</v>
      </c>
      <c r="BD17" t="s">
        <v>28</v>
      </c>
      <c r="BE17">
        <v>1095</v>
      </c>
      <c r="BF17">
        <v>1121</v>
      </c>
      <c r="BG17" t="s">
        <v>28</v>
      </c>
      <c r="BH17" t="s">
        <v>1115</v>
      </c>
      <c r="BI17" t="str">
        <f>HYPERLINK("http://dx.doi.org/10.1016/j.envsoft.2008.02.004","http://dx.doi.org/10.1016/j.envsoft.2008.02.004")</f>
        <v>http://dx.doi.org/10.1016/j.envsoft.2008.02.004</v>
      </c>
      <c r="BJ17" t="s">
        <v>28</v>
      </c>
      <c r="BK17" t="s">
        <v>28</v>
      </c>
      <c r="BL17">
        <v>27</v>
      </c>
      <c r="BM17" t="s">
        <v>2257</v>
      </c>
      <c r="BN17" t="s">
        <v>2314</v>
      </c>
      <c r="BO17" t="s">
        <v>2259</v>
      </c>
      <c r="BP17" t="s">
        <v>3166</v>
      </c>
      <c r="BQ17" t="s">
        <v>28</v>
      </c>
      <c r="BR17" t="s">
        <v>28</v>
      </c>
      <c r="BS17" t="s">
        <v>28</v>
      </c>
      <c r="BT17" t="s">
        <v>28</v>
      </c>
      <c r="BU17" t="s">
        <v>2261</v>
      </c>
      <c r="BV17" t="s">
        <v>2036</v>
      </c>
      <c r="BW17" t="str">
        <f>HYPERLINK("https%3A%2F%2Fwww.webofscience.com%2Fwos%2Fwoscc%2Ffull-record%2FWOS:000257094800001","View Full Record in Web of Science")</f>
        <v>View Full Record in Web of Science</v>
      </c>
    </row>
    <row r="18" spans="1:75" x14ac:dyDescent="0.35">
      <c r="A18">
        <f>COUNTIF(Scopus!$E$2:$E$128,"="&amp;Tabelle6[[#This Row],[Article Title]])</f>
        <v>0</v>
      </c>
      <c r="B18">
        <v>1</v>
      </c>
      <c r="C18" s="1" t="s">
        <v>2148</v>
      </c>
      <c r="D18" t="s">
        <v>1321</v>
      </c>
      <c r="E18" t="s">
        <v>2138</v>
      </c>
      <c r="F18">
        <v>2001</v>
      </c>
      <c r="G18" t="s">
        <v>2139</v>
      </c>
      <c r="H18" t="s">
        <v>28</v>
      </c>
      <c r="I18" t="s">
        <v>28</v>
      </c>
      <c r="J18" t="s">
        <v>28</v>
      </c>
      <c r="K18" t="s">
        <v>2138</v>
      </c>
      <c r="L18" t="s">
        <v>28</v>
      </c>
      <c r="M18" t="s">
        <v>28</v>
      </c>
      <c r="N18" t="s">
        <v>1961</v>
      </c>
      <c r="O18" t="s">
        <v>28</v>
      </c>
      <c r="P18" t="s">
        <v>28</v>
      </c>
      <c r="Q18" t="s">
        <v>2242</v>
      </c>
      <c r="R18" t="s">
        <v>2469</v>
      </c>
      <c r="S18" t="s">
        <v>2140</v>
      </c>
      <c r="T18" t="s">
        <v>2141</v>
      </c>
      <c r="U18" t="s">
        <v>2142</v>
      </c>
      <c r="V18" t="s">
        <v>2143</v>
      </c>
      <c r="W18" t="s">
        <v>28</v>
      </c>
      <c r="X18" t="s">
        <v>2505</v>
      </c>
      <c r="Y18" t="s">
        <v>28</v>
      </c>
      <c r="Z18" t="s">
        <v>2506</v>
      </c>
      <c r="AA18" t="s">
        <v>2507</v>
      </c>
      <c r="AB18" t="s">
        <v>28</v>
      </c>
      <c r="AC18" t="s">
        <v>2508</v>
      </c>
      <c r="AD18" t="s">
        <v>2509</v>
      </c>
      <c r="AE18" t="s">
        <v>2144</v>
      </c>
      <c r="AF18" t="s">
        <v>2145</v>
      </c>
      <c r="AG18" t="s">
        <v>28</v>
      </c>
      <c r="AH18" t="s">
        <v>28</v>
      </c>
      <c r="AI18" t="s">
        <v>28</v>
      </c>
      <c r="AJ18" t="s">
        <v>28</v>
      </c>
      <c r="AK18">
        <v>21</v>
      </c>
      <c r="AL18">
        <v>365</v>
      </c>
      <c r="AM18">
        <v>385</v>
      </c>
      <c r="AN18">
        <v>6</v>
      </c>
      <c r="AO18">
        <v>253</v>
      </c>
      <c r="AP18" t="s">
        <v>2510</v>
      </c>
      <c r="AQ18" t="s">
        <v>2511</v>
      </c>
      <c r="AR18" t="s">
        <v>2512</v>
      </c>
      <c r="AS18" t="s">
        <v>1963</v>
      </c>
      <c r="AT18" t="s">
        <v>1964</v>
      </c>
      <c r="AU18" t="s">
        <v>28</v>
      </c>
      <c r="AV18" t="s">
        <v>2513</v>
      </c>
      <c r="AW18" t="s">
        <v>2514</v>
      </c>
      <c r="AX18" t="s">
        <v>1356</v>
      </c>
      <c r="AY18">
        <v>25</v>
      </c>
      <c r="AZ18" t="s">
        <v>1242</v>
      </c>
      <c r="BA18" t="s">
        <v>28</v>
      </c>
      <c r="BB18" t="s">
        <v>28</v>
      </c>
      <c r="BC18" t="s">
        <v>28</v>
      </c>
      <c r="BD18" t="s">
        <v>28</v>
      </c>
      <c r="BE18">
        <v>245</v>
      </c>
      <c r="BF18">
        <v>260</v>
      </c>
      <c r="BG18" t="s">
        <v>28</v>
      </c>
      <c r="BH18" t="s">
        <v>2146</v>
      </c>
      <c r="BI18" t="str">
        <f>HYPERLINK("http://dx.doi.org/10.1111/j.1574-0862.2001.tb00205.x","http://dx.doi.org/10.1111/j.1574-0862.2001.tb00205.x")</f>
        <v>http://dx.doi.org/10.1111/j.1574-0862.2001.tb00205.x</v>
      </c>
      <c r="BJ18" t="s">
        <v>28</v>
      </c>
      <c r="BK18" t="s">
        <v>28</v>
      </c>
      <c r="BL18">
        <v>16</v>
      </c>
      <c r="BM18" t="s">
        <v>2515</v>
      </c>
      <c r="BN18" t="s">
        <v>2516</v>
      </c>
      <c r="BO18" t="s">
        <v>2517</v>
      </c>
      <c r="BP18" t="s">
        <v>2518</v>
      </c>
      <c r="BQ18" t="s">
        <v>28</v>
      </c>
      <c r="BR18" t="s">
        <v>2317</v>
      </c>
      <c r="BS18" t="s">
        <v>28</v>
      </c>
      <c r="BT18" t="s">
        <v>28</v>
      </c>
      <c r="BU18" t="s">
        <v>2261</v>
      </c>
      <c r="BV18" t="s">
        <v>2147</v>
      </c>
      <c r="BW18" t="str">
        <f>HYPERLINK("https%3A%2F%2Fwww.webofscience.com%2Fwos%2Fwoscc%2Ffull-record%2FWOS:000172267200012","View Full Record in Web of Science")</f>
        <v>View Full Record in Web of Science</v>
      </c>
    </row>
    <row r="19" spans="1:75" x14ac:dyDescent="0.35">
      <c r="A19">
        <f>COUNTIF(Scopus!$E$2:$E$128,"="&amp;Tabelle6[[#This Row],[Article Title]])</f>
        <v>1</v>
      </c>
      <c r="B19">
        <v>1</v>
      </c>
      <c r="C19" s="1" t="s">
        <v>2148</v>
      </c>
      <c r="D19" t="s">
        <v>1417</v>
      </c>
      <c r="E19" t="s">
        <v>2051</v>
      </c>
      <c r="F19">
        <v>2007</v>
      </c>
      <c r="G19" t="s">
        <v>1143</v>
      </c>
      <c r="H19" t="s">
        <v>28</v>
      </c>
      <c r="I19" t="s">
        <v>2052</v>
      </c>
      <c r="J19" t="s">
        <v>28</v>
      </c>
      <c r="K19" t="s">
        <v>2053</v>
      </c>
      <c r="L19" t="s">
        <v>28</v>
      </c>
      <c r="M19" t="s">
        <v>28</v>
      </c>
      <c r="N19" t="s">
        <v>2054</v>
      </c>
      <c r="O19" t="s">
        <v>28</v>
      </c>
      <c r="P19" t="s">
        <v>28</v>
      </c>
      <c r="Q19" t="s">
        <v>2242</v>
      </c>
      <c r="R19" t="s">
        <v>2345</v>
      </c>
      <c r="S19" t="s">
        <v>2055</v>
      </c>
      <c r="T19" t="s">
        <v>2056</v>
      </c>
      <c r="U19" t="s">
        <v>2057</v>
      </c>
      <c r="V19" t="s">
        <v>3796</v>
      </c>
      <c r="W19" t="s">
        <v>28</v>
      </c>
      <c r="X19" t="s">
        <v>28</v>
      </c>
      <c r="Y19" t="s">
        <v>3797</v>
      </c>
      <c r="Z19" t="s">
        <v>3798</v>
      </c>
      <c r="AA19" t="s">
        <v>3799</v>
      </c>
      <c r="AB19" t="s">
        <v>28</v>
      </c>
      <c r="AC19" t="s">
        <v>3800</v>
      </c>
      <c r="AD19" t="s">
        <v>3801</v>
      </c>
      <c r="AE19" t="s">
        <v>2058</v>
      </c>
      <c r="AF19" t="s">
        <v>2059</v>
      </c>
      <c r="AG19" t="s">
        <v>3802</v>
      </c>
      <c r="AH19" t="s">
        <v>3802</v>
      </c>
      <c r="AI19" t="s">
        <v>3803</v>
      </c>
      <c r="AJ19" t="s">
        <v>28</v>
      </c>
      <c r="AK19">
        <v>32</v>
      </c>
      <c r="AL19">
        <v>9</v>
      </c>
      <c r="AM19">
        <v>9</v>
      </c>
      <c r="AN19">
        <v>0</v>
      </c>
      <c r="AO19">
        <v>12</v>
      </c>
      <c r="AP19" t="s">
        <v>2327</v>
      </c>
      <c r="AQ19" t="s">
        <v>2328</v>
      </c>
      <c r="AR19" t="s">
        <v>3804</v>
      </c>
      <c r="AS19" t="s">
        <v>28</v>
      </c>
      <c r="AT19" t="s">
        <v>28</v>
      </c>
      <c r="AU19" t="s">
        <v>2060</v>
      </c>
      <c r="AV19" t="s">
        <v>28</v>
      </c>
      <c r="AW19" t="s">
        <v>28</v>
      </c>
      <c r="AX19" t="s">
        <v>28</v>
      </c>
      <c r="AY19" t="s">
        <v>28</v>
      </c>
      <c r="AZ19" t="s">
        <v>28</v>
      </c>
      <c r="BA19" t="s">
        <v>28</v>
      </c>
      <c r="BB19" t="s">
        <v>28</v>
      </c>
      <c r="BC19" t="s">
        <v>28</v>
      </c>
      <c r="BD19" t="s">
        <v>28</v>
      </c>
      <c r="BE19">
        <v>129</v>
      </c>
      <c r="BF19" t="s">
        <v>2049</v>
      </c>
      <c r="BG19" t="s">
        <v>28</v>
      </c>
      <c r="BH19" t="s">
        <v>1171</v>
      </c>
      <c r="BI19" t="str">
        <f>HYPERLINK("http://dx.doi.org/10.1007/s11269-006-9045-z","http://dx.doi.org/10.1007/s11269-006-9045-z")</f>
        <v>http://dx.doi.org/10.1007/s11269-006-9045-z</v>
      </c>
      <c r="BJ19" t="s">
        <v>28</v>
      </c>
      <c r="BK19" t="s">
        <v>28</v>
      </c>
      <c r="BL19">
        <v>4</v>
      </c>
      <c r="BM19" t="s">
        <v>2770</v>
      </c>
      <c r="BN19" t="s">
        <v>2357</v>
      </c>
      <c r="BO19" t="s">
        <v>2770</v>
      </c>
      <c r="BP19" t="s">
        <v>3805</v>
      </c>
      <c r="BQ19" t="s">
        <v>28</v>
      </c>
      <c r="BR19" t="s">
        <v>28</v>
      </c>
      <c r="BS19" t="s">
        <v>28</v>
      </c>
      <c r="BT19" t="s">
        <v>28</v>
      </c>
      <c r="BU19" t="s">
        <v>2261</v>
      </c>
      <c r="BV19" t="s">
        <v>2061</v>
      </c>
      <c r="BW19" t="str">
        <f>HYPERLINK("https%3A%2F%2Fwww.webofscience.com%2Fwos%2Fwoscc%2Ffull-record%2FWOS:000246046600009","View Full Record in Web of Science")</f>
        <v>View Full Record in Web of Science</v>
      </c>
    </row>
    <row r="20" spans="1:75" x14ac:dyDescent="0.35">
      <c r="A20">
        <f>COUNTIF(Scopus!$E$2:$E$128,"="&amp;Tabelle6[[#This Row],[Article Title]])</f>
        <v>1</v>
      </c>
      <c r="B20">
        <v>1</v>
      </c>
      <c r="C20" s="1" t="s">
        <v>2148</v>
      </c>
      <c r="D20" t="s">
        <v>1321</v>
      </c>
      <c r="E20" t="s">
        <v>2051</v>
      </c>
      <c r="F20">
        <v>2007</v>
      </c>
      <c r="G20" t="s">
        <v>1143</v>
      </c>
      <c r="H20" t="s">
        <v>28</v>
      </c>
      <c r="I20" t="s">
        <v>28</v>
      </c>
      <c r="J20" t="s">
        <v>28</v>
      </c>
      <c r="K20" t="s">
        <v>2053</v>
      </c>
      <c r="L20" t="s">
        <v>28</v>
      </c>
      <c r="M20" t="s">
        <v>28</v>
      </c>
      <c r="N20" t="s">
        <v>1846</v>
      </c>
      <c r="O20" t="s">
        <v>28</v>
      </c>
      <c r="P20" t="s">
        <v>28</v>
      </c>
      <c r="Q20" t="s">
        <v>2242</v>
      </c>
      <c r="R20" t="s">
        <v>34</v>
      </c>
      <c r="S20" t="s">
        <v>28</v>
      </c>
      <c r="T20" t="s">
        <v>28</v>
      </c>
      <c r="U20" t="s">
        <v>28</v>
      </c>
      <c r="V20" t="s">
        <v>28</v>
      </c>
      <c r="W20" t="s">
        <v>28</v>
      </c>
      <c r="X20" t="s">
        <v>3815</v>
      </c>
      <c r="Y20" t="s">
        <v>3797</v>
      </c>
      <c r="Z20" t="s">
        <v>3816</v>
      </c>
      <c r="AA20" t="s">
        <v>3817</v>
      </c>
      <c r="AB20" t="s">
        <v>28</v>
      </c>
      <c r="AC20" t="s">
        <v>3800</v>
      </c>
      <c r="AD20" t="s">
        <v>3801</v>
      </c>
      <c r="AE20" t="s">
        <v>2058</v>
      </c>
      <c r="AF20" t="s">
        <v>2059</v>
      </c>
      <c r="AG20" t="s">
        <v>28</v>
      </c>
      <c r="AH20" t="s">
        <v>28</v>
      </c>
      <c r="AI20" t="s">
        <v>28</v>
      </c>
      <c r="AJ20" t="s">
        <v>28</v>
      </c>
      <c r="AK20">
        <v>32</v>
      </c>
      <c r="AL20">
        <v>91</v>
      </c>
      <c r="AM20">
        <v>96</v>
      </c>
      <c r="AN20">
        <v>3</v>
      </c>
      <c r="AO20">
        <v>79</v>
      </c>
      <c r="AP20" t="s">
        <v>2327</v>
      </c>
      <c r="AQ20" t="s">
        <v>2328</v>
      </c>
      <c r="AR20" t="s">
        <v>2329</v>
      </c>
      <c r="AS20" t="s">
        <v>1848</v>
      </c>
      <c r="AT20" t="s">
        <v>1849</v>
      </c>
      <c r="AU20" t="s">
        <v>28</v>
      </c>
      <c r="AV20" t="s">
        <v>2330</v>
      </c>
      <c r="AW20" t="s">
        <v>2331</v>
      </c>
      <c r="AX20" t="s">
        <v>1596</v>
      </c>
      <c r="AY20">
        <v>21</v>
      </c>
      <c r="AZ20">
        <v>1</v>
      </c>
      <c r="BA20" t="s">
        <v>28</v>
      </c>
      <c r="BB20" t="s">
        <v>28</v>
      </c>
      <c r="BC20" t="s">
        <v>28</v>
      </c>
      <c r="BD20" t="s">
        <v>28</v>
      </c>
      <c r="BE20">
        <v>129</v>
      </c>
      <c r="BF20">
        <v>148</v>
      </c>
      <c r="BG20" t="s">
        <v>28</v>
      </c>
      <c r="BH20" t="s">
        <v>1171</v>
      </c>
      <c r="BI20" t="str">
        <f>HYPERLINK("http://dx.doi.org/10.1007/s11269-006-9045-z","http://dx.doi.org/10.1007/s11269-006-9045-z")</f>
        <v>http://dx.doi.org/10.1007/s11269-006-9045-z</v>
      </c>
      <c r="BJ20" t="s">
        <v>28</v>
      </c>
      <c r="BK20" t="s">
        <v>28</v>
      </c>
      <c r="BL20">
        <v>20</v>
      </c>
      <c r="BM20" t="s">
        <v>2332</v>
      </c>
      <c r="BN20" t="s">
        <v>2314</v>
      </c>
      <c r="BO20" t="s">
        <v>2333</v>
      </c>
      <c r="BP20" t="s">
        <v>3818</v>
      </c>
      <c r="BQ20" t="s">
        <v>28</v>
      </c>
      <c r="BR20" t="s">
        <v>28</v>
      </c>
      <c r="BS20" t="s">
        <v>28</v>
      </c>
      <c r="BT20" t="s">
        <v>28</v>
      </c>
      <c r="BU20" t="s">
        <v>2261</v>
      </c>
      <c r="BV20" t="s">
        <v>2062</v>
      </c>
      <c r="BW20" t="str">
        <f>HYPERLINK("https%3A%2F%2Fwww.webofscience.com%2Fwos%2Fwoscc%2Ffull-record%2FWOS:000243142400010","View Full Record in Web of Science")</f>
        <v>View Full Record in Web of Science</v>
      </c>
    </row>
    <row r="21" spans="1:75" x14ac:dyDescent="0.35">
      <c r="A21">
        <f>COUNTIF(Scopus!$E$2:$E$128,"="&amp;Tabelle6[[#This Row],[Article Title]])</f>
        <v>1</v>
      </c>
      <c r="B21">
        <v>1</v>
      </c>
      <c r="C21" s="1" t="s">
        <v>2148</v>
      </c>
      <c r="D21" t="s">
        <v>1321</v>
      </c>
      <c r="E21" t="s">
        <v>2774</v>
      </c>
      <c r="F21">
        <v>2017</v>
      </c>
      <c r="G21" t="s">
        <v>510</v>
      </c>
      <c r="H21" t="s">
        <v>28</v>
      </c>
      <c r="I21" t="s">
        <v>28</v>
      </c>
      <c r="J21" t="s">
        <v>28</v>
      </c>
      <c r="K21" t="s">
        <v>2775</v>
      </c>
      <c r="L21" t="s">
        <v>28</v>
      </c>
      <c r="M21" t="s">
        <v>28</v>
      </c>
      <c r="N21" t="s">
        <v>2776</v>
      </c>
      <c r="O21" t="s">
        <v>28</v>
      </c>
      <c r="P21" t="s">
        <v>28</v>
      </c>
      <c r="Q21" t="s">
        <v>2242</v>
      </c>
      <c r="R21" t="s">
        <v>34</v>
      </c>
      <c r="S21" t="s">
        <v>28</v>
      </c>
      <c r="T21" t="s">
        <v>28</v>
      </c>
      <c r="U21" t="s">
        <v>28</v>
      </c>
      <c r="V21" t="s">
        <v>28</v>
      </c>
      <c r="W21" t="s">
        <v>28</v>
      </c>
      <c r="X21" t="s">
        <v>2777</v>
      </c>
      <c r="Y21" t="s">
        <v>2778</v>
      </c>
      <c r="Z21" t="s">
        <v>2779</v>
      </c>
      <c r="AA21" t="s">
        <v>2780</v>
      </c>
      <c r="AB21" t="s">
        <v>28</v>
      </c>
      <c r="AC21" t="s">
        <v>2781</v>
      </c>
      <c r="AD21" t="s">
        <v>2782</v>
      </c>
      <c r="AE21" t="s">
        <v>28</v>
      </c>
      <c r="AF21" t="s">
        <v>28</v>
      </c>
      <c r="AG21" t="s">
        <v>2783</v>
      </c>
      <c r="AH21" t="s">
        <v>2784</v>
      </c>
      <c r="AI21" t="s">
        <v>2785</v>
      </c>
      <c r="AJ21" t="s">
        <v>28</v>
      </c>
      <c r="AK21">
        <v>59</v>
      </c>
      <c r="AL21">
        <v>8</v>
      </c>
      <c r="AM21">
        <v>8</v>
      </c>
      <c r="AN21">
        <v>1</v>
      </c>
      <c r="AO21">
        <v>10</v>
      </c>
      <c r="AP21" t="s">
        <v>2786</v>
      </c>
      <c r="AQ21" t="s">
        <v>2787</v>
      </c>
      <c r="AR21" t="s">
        <v>2788</v>
      </c>
      <c r="AS21" t="s">
        <v>2789</v>
      </c>
      <c r="AT21" t="s">
        <v>28</v>
      </c>
      <c r="AU21" t="s">
        <v>28</v>
      </c>
      <c r="AV21" t="s">
        <v>2790</v>
      </c>
      <c r="AW21" t="s">
        <v>2791</v>
      </c>
      <c r="AX21" t="s">
        <v>2792</v>
      </c>
      <c r="AY21">
        <v>5</v>
      </c>
      <c r="AZ21" t="s">
        <v>28</v>
      </c>
      <c r="BA21" t="s">
        <v>28</v>
      </c>
      <c r="BB21" t="s">
        <v>28</v>
      </c>
      <c r="BC21" t="s">
        <v>28</v>
      </c>
      <c r="BD21" t="s">
        <v>28</v>
      </c>
      <c r="BE21" t="s">
        <v>28</v>
      </c>
      <c r="BF21" t="s">
        <v>28</v>
      </c>
      <c r="BG21">
        <v>9</v>
      </c>
      <c r="BH21" t="s">
        <v>513</v>
      </c>
      <c r="BI21" t="str">
        <f>HYPERLINK("http://dx.doi.org/10.1186/s40294-017-0047-x","http://dx.doi.org/10.1186/s40294-017-0047-x")</f>
        <v>http://dx.doi.org/10.1186/s40294-017-0047-x</v>
      </c>
      <c r="BJ21" t="s">
        <v>28</v>
      </c>
      <c r="BK21" t="s">
        <v>28</v>
      </c>
      <c r="BL21">
        <v>23</v>
      </c>
      <c r="BM21" t="s">
        <v>2793</v>
      </c>
      <c r="BN21" t="s">
        <v>2771</v>
      </c>
      <c r="BO21" t="s">
        <v>2315</v>
      </c>
      <c r="BP21" t="s">
        <v>2794</v>
      </c>
      <c r="BQ21" t="s">
        <v>28</v>
      </c>
      <c r="BR21" t="s">
        <v>2795</v>
      </c>
      <c r="BS21" t="s">
        <v>28</v>
      </c>
      <c r="BT21" t="s">
        <v>28</v>
      </c>
      <c r="BU21" t="s">
        <v>2261</v>
      </c>
      <c r="BV21" t="s">
        <v>2796</v>
      </c>
      <c r="BW21" t="str">
        <f>HYPERLINK("https%3A%2F%2Fwww.webofscience.com%2Fwos%2Fwoscc%2Ffull-record%2FWOS:000407359400001","View Full Record in Web of Science")</f>
        <v>View Full Record in Web of Science</v>
      </c>
    </row>
    <row r="22" spans="1:75" x14ac:dyDescent="0.35">
      <c r="A22">
        <f>COUNTIF(Scopus!$E$2:$E$128,"="&amp;Tabelle6[[#This Row],[Article Title]])</f>
        <v>1</v>
      </c>
      <c r="B22">
        <v>1</v>
      </c>
      <c r="C22" s="1" t="s">
        <v>2148</v>
      </c>
      <c r="D22" t="s">
        <v>1321</v>
      </c>
      <c r="E22" t="s">
        <v>1621</v>
      </c>
      <c r="F22">
        <v>2018</v>
      </c>
      <c r="G22" t="s">
        <v>460</v>
      </c>
      <c r="H22" t="s">
        <v>28</v>
      </c>
      <c r="I22" t="s">
        <v>28</v>
      </c>
      <c r="J22" t="s">
        <v>28</v>
      </c>
      <c r="K22" t="s">
        <v>1622</v>
      </c>
      <c r="L22" t="s">
        <v>28</v>
      </c>
      <c r="M22" t="s">
        <v>28</v>
      </c>
      <c r="N22" t="s">
        <v>1623</v>
      </c>
      <c r="O22" t="s">
        <v>28</v>
      </c>
      <c r="P22" t="s">
        <v>28</v>
      </c>
      <c r="Q22" t="s">
        <v>2242</v>
      </c>
      <c r="R22" t="s">
        <v>34</v>
      </c>
      <c r="S22" t="s">
        <v>28</v>
      </c>
      <c r="T22" t="s">
        <v>28</v>
      </c>
      <c r="U22" t="s">
        <v>28</v>
      </c>
      <c r="V22" t="s">
        <v>28</v>
      </c>
      <c r="W22" t="s">
        <v>28</v>
      </c>
      <c r="X22" t="s">
        <v>2695</v>
      </c>
      <c r="Y22" t="s">
        <v>2696</v>
      </c>
      <c r="Z22" t="s">
        <v>2697</v>
      </c>
      <c r="AA22" t="s">
        <v>2698</v>
      </c>
      <c r="AB22" t="s">
        <v>28</v>
      </c>
      <c r="AC22" t="s">
        <v>2699</v>
      </c>
      <c r="AD22" t="s">
        <v>2700</v>
      </c>
      <c r="AE22" t="s">
        <v>2701</v>
      </c>
      <c r="AF22" t="s">
        <v>2702</v>
      </c>
      <c r="AG22" t="s">
        <v>28</v>
      </c>
      <c r="AH22" t="s">
        <v>28</v>
      </c>
      <c r="AI22" t="s">
        <v>28</v>
      </c>
      <c r="AJ22" t="s">
        <v>28</v>
      </c>
      <c r="AK22">
        <v>88</v>
      </c>
      <c r="AL22">
        <v>18</v>
      </c>
      <c r="AM22">
        <v>18</v>
      </c>
      <c r="AN22">
        <v>1</v>
      </c>
      <c r="AO22">
        <v>33</v>
      </c>
      <c r="AP22" t="s">
        <v>2252</v>
      </c>
      <c r="AQ22" t="s">
        <v>2253</v>
      </c>
      <c r="AR22" t="s">
        <v>2254</v>
      </c>
      <c r="AS22" t="s">
        <v>1624</v>
      </c>
      <c r="AT22" t="s">
        <v>1625</v>
      </c>
      <c r="AU22" t="s">
        <v>28</v>
      </c>
      <c r="AV22" t="s">
        <v>2255</v>
      </c>
      <c r="AW22" t="s">
        <v>2256</v>
      </c>
      <c r="AX22" t="s">
        <v>1388</v>
      </c>
      <c r="AY22">
        <v>105</v>
      </c>
      <c r="AZ22" t="s">
        <v>28</v>
      </c>
      <c r="BA22" t="s">
        <v>28</v>
      </c>
      <c r="BB22" t="s">
        <v>28</v>
      </c>
      <c r="BC22" t="s">
        <v>28</v>
      </c>
      <c r="BD22" t="s">
        <v>28</v>
      </c>
      <c r="BE22">
        <v>270</v>
      </c>
      <c r="BF22">
        <v>285</v>
      </c>
      <c r="BG22" t="s">
        <v>28</v>
      </c>
      <c r="BH22" t="s">
        <v>463</v>
      </c>
      <c r="BI22" t="str">
        <f>HYPERLINK("http://dx.doi.org/10.1016/j.envsoft.2018.05.001","http://dx.doi.org/10.1016/j.envsoft.2018.05.001")</f>
        <v>http://dx.doi.org/10.1016/j.envsoft.2018.05.001</v>
      </c>
      <c r="BJ22" t="s">
        <v>28</v>
      </c>
      <c r="BK22" t="s">
        <v>28</v>
      </c>
      <c r="BL22">
        <v>16</v>
      </c>
      <c r="BM22" t="s">
        <v>2257</v>
      </c>
      <c r="BN22" t="s">
        <v>2258</v>
      </c>
      <c r="BO22" t="s">
        <v>2259</v>
      </c>
      <c r="BP22" t="s">
        <v>2703</v>
      </c>
      <c r="BQ22" t="s">
        <v>28</v>
      </c>
      <c r="BR22" t="s">
        <v>28</v>
      </c>
      <c r="BS22" t="s">
        <v>28</v>
      </c>
      <c r="BT22" t="s">
        <v>28</v>
      </c>
      <c r="BU22" t="s">
        <v>2261</v>
      </c>
      <c r="BV22" t="s">
        <v>1626</v>
      </c>
      <c r="BW22" t="str">
        <f>HYPERLINK("https%3A%2F%2Fwww.webofscience.com%2Fwos%2Fwoscc%2Ffull-record%2FWOS:000434465900019","View Full Record in Web of Science")</f>
        <v>View Full Record in Web of Science</v>
      </c>
    </row>
    <row r="23" spans="1:75" x14ac:dyDescent="0.35">
      <c r="A23">
        <f>COUNTIF(Scopus!$E$2:$E$128,"="&amp;Tabelle6[[#This Row],[Article Title]])</f>
        <v>1</v>
      </c>
      <c r="B23">
        <v>1</v>
      </c>
      <c r="C23" s="1" t="s">
        <v>2148</v>
      </c>
      <c r="D23" t="s">
        <v>1417</v>
      </c>
      <c r="E23" t="s">
        <v>1762</v>
      </c>
      <c r="F23">
        <v>2016</v>
      </c>
      <c r="G23" t="s">
        <v>656</v>
      </c>
      <c r="H23" t="s">
        <v>28</v>
      </c>
      <c r="I23" t="s">
        <v>1763</v>
      </c>
      <c r="J23" t="s">
        <v>28</v>
      </c>
      <c r="K23" t="s">
        <v>1764</v>
      </c>
      <c r="L23" t="s">
        <v>28</v>
      </c>
      <c r="M23" t="s">
        <v>28</v>
      </c>
      <c r="N23" t="s">
        <v>1765</v>
      </c>
      <c r="O23" t="s">
        <v>657</v>
      </c>
      <c r="P23" t="s">
        <v>28</v>
      </c>
      <c r="Q23" t="s">
        <v>2242</v>
      </c>
      <c r="R23" t="s">
        <v>2345</v>
      </c>
      <c r="S23" t="s">
        <v>1766</v>
      </c>
      <c r="T23" t="s">
        <v>1767</v>
      </c>
      <c r="U23" t="s">
        <v>1768</v>
      </c>
      <c r="V23" t="s">
        <v>1769</v>
      </c>
      <c r="W23" t="s">
        <v>28</v>
      </c>
      <c r="X23" t="s">
        <v>3883</v>
      </c>
      <c r="Y23" t="s">
        <v>3884</v>
      </c>
      <c r="Z23" t="s">
        <v>3885</v>
      </c>
      <c r="AA23" t="s">
        <v>3886</v>
      </c>
      <c r="AB23" t="s">
        <v>28</v>
      </c>
      <c r="AC23" t="s">
        <v>3887</v>
      </c>
      <c r="AD23" t="s">
        <v>3888</v>
      </c>
      <c r="AE23" t="s">
        <v>28</v>
      </c>
      <c r="AF23" t="s">
        <v>3889</v>
      </c>
      <c r="AG23" t="s">
        <v>28</v>
      </c>
      <c r="AH23" t="s">
        <v>28</v>
      </c>
      <c r="AI23" t="s">
        <v>28</v>
      </c>
      <c r="AJ23" t="s">
        <v>28</v>
      </c>
      <c r="AK23">
        <v>17</v>
      </c>
      <c r="AL23">
        <v>0</v>
      </c>
      <c r="AM23">
        <v>0</v>
      </c>
      <c r="AN23">
        <v>0</v>
      </c>
      <c r="AO23">
        <v>0</v>
      </c>
      <c r="AP23" t="s">
        <v>2327</v>
      </c>
      <c r="AQ23" t="s">
        <v>2328</v>
      </c>
      <c r="AR23" t="s">
        <v>3804</v>
      </c>
      <c r="AS23" t="s">
        <v>1770</v>
      </c>
      <c r="AT23" t="s">
        <v>1771</v>
      </c>
      <c r="AU23" t="s">
        <v>1772</v>
      </c>
      <c r="AV23" t="s">
        <v>3890</v>
      </c>
      <c r="AW23" t="s">
        <v>28</v>
      </c>
      <c r="AX23" t="s">
        <v>28</v>
      </c>
      <c r="AY23" t="s">
        <v>28</v>
      </c>
      <c r="AZ23" t="s">
        <v>28</v>
      </c>
      <c r="BA23" t="s">
        <v>28</v>
      </c>
      <c r="BB23" t="s">
        <v>28</v>
      </c>
      <c r="BC23" t="s">
        <v>28</v>
      </c>
      <c r="BD23" t="s">
        <v>28</v>
      </c>
      <c r="BE23">
        <v>187</v>
      </c>
      <c r="BF23">
        <v>200</v>
      </c>
      <c r="BG23" t="s">
        <v>28</v>
      </c>
      <c r="BH23" t="s">
        <v>658</v>
      </c>
      <c r="BI23" t="str">
        <f>HYPERLINK("http://dx.doi.org/10.1007/978-3-319-33410-3_14","http://dx.doi.org/10.1007/978-3-319-33410-3_14")</f>
        <v>http://dx.doi.org/10.1007/978-3-319-33410-3_14</v>
      </c>
      <c r="BJ23" t="s">
        <v>28</v>
      </c>
      <c r="BK23" t="s">
        <v>28</v>
      </c>
      <c r="BL23">
        <v>14</v>
      </c>
      <c r="BM23" t="s">
        <v>3891</v>
      </c>
      <c r="BN23" t="s">
        <v>2357</v>
      </c>
      <c r="BO23" t="s">
        <v>2315</v>
      </c>
      <c r="BP23" t="s">
        <v>3892</v>
      </c>
      <c r="BQ23" t="s">
        <v>28</v>
      </c>
      <c r="BR23" t="s">
        <v>28</v>
      </c>
      <c r="BS23" t="s">
        <v>28</v>
      </c>
      <c r="BT23" t="s">
        <v>28</v>
      </c>
      <c r="BU23" t="s">
        <v>2261</v>
      </c>
      <c r="BV23" t="s">
        <v>1773</v>
      </c>
      <c r="BW23" t="str">
        <f>HYPERLINK("https%3A%2F%2Fwww.webofscience.com%2Fwos%2Fwoscc%2Ffull-record%2FWOS:000385237500014","View Full Record in Web of Science")</f>
        <v>View Full Record in Web of Science</v>
      </c>
    </row>
    <row r="24" spans="1:75" x14ac:dyDescent="0.35">
      <c r="A24">
        <f>COUNTIF(Scopus!$E$2:$E$128,"="&amp;Tabelle6[[#This Row],[Article Title]])</f>
        <v>1</v>
      </c>
      <c r="B24">
        <v>1</v>
      </c>
      <c r="C24" s="1" t="s">
        <v>2148</v>
      </c>
      <c r="D24" t="s">
        <v>1321</v>
      </c>
      <c r="E24" t="s">
        <v>1554</v>
      </c>
      <c r="F24">
        <v>2019</v>
      </c>
      <c r="G24" t="s">
        <v>346</v>
      </c>
      <c r="H24" t="s">
        <v>28</v>
      </c>
      <c r="I24" t="s">
        <v>28</v>
      </c>
      <c r="J24" t="s">
        <v>28</v>
      </c>
      <c r="K24" t="s">
        <v>1555</v>
      </c>
      <c r="L24" t="s">
        <v>28</v>
      </c>
      <c r="M24" t="s">
        <v>28</v>
      </c>
      <c r="N24" t="s">
        <v>1556</v>
      </c>
      <c r="O24" t="s">
        <v>28</v>
      </c>
      <c r="P24" t="s">
        <v>28</v>
      </c>
      <c r="Q24" t="s">
        <v>2242</v>
      </c>
      <c r="R24" t="s">
        <v>34</v>
      </c>
      <c r="S24" t="s">
        <v>28</v>
      </c>
      <c r="T24" t="s">
        <v>28</v>
      </c>
      <c r="U24" t="s">
        <v>28</v>
      </c>
      <c r="V24" t="s">
        <v>28</v>
      </c>
      <c r="W24" t="s">
        <v>28</v>
      </c>
      <c r="X24" t="s">
        <v>3604</v>
      </c>
      <c r="Y24" t="s">
        <v>3605</v>
      </c>
      <c r="Z24" t="s">
        <v>3606</v>
      </c>
      <c r="AA24" t="s">
        <v>3607</v>
      </c>
      <c r="AB24" t="s">
        <v>28</v>
      </c>
      <c r="AC24" t="s">
        <v>3608</v>
      </c>
      <c r="AD24" t="s">
        <v>3609</v>
      </c>
      <c r="AE24" t="s">
        <v>28</v>
      </c>
      <c r="AF24" t="s">
        <v>28</v>
      </c>
      <c r="AG24" t="s">
        <v>3610</v>
      </c>
      <c r="AH24" t="s">
        <v>3611</v>
      </c>
      <c r="AI24" t="s">
        <v>3612</v>
      </c>
      <c r="AJ24" t="s">
        <v>28</v>
      </c>
      <c r="AK24">
        <v>33</v>
      </c>
      <c r="AL24">
        <v>5</v>
      </c>
      <c r="AM24">
        <v>5</v>
      </c>
      <c r="AN24">
        <v>1</v>
      </c>
      <c r="AO24">
        <v>12</v>
      </c>
      <c r="AP24" t="s">
        <v>2369</v>
      </c>
      <c r="AQ24" t="s">
        <v>2309</v>
      </c>
      <c r="AR24" t="s">
        <v>2370</v>
      </c>
      <c r="AS24" t="s">
        <v>1557</v>
      </c>
      <c r="AT24" t="s">
        <v>1558</v>
      </c>
      <c r="AU24" t="s">
        <v>28</v>
      </c>
      <c r="AV24" t="s">
        <v>3613</v>
      </c>
      <c r="AW24" t="s">
        <v>3614</v>
      </c>
      <c r="AX24" t="s">
        <v>1559</v>
      </c>
      <c r="AY24">
        <v>21</v>
      </c>
      <c r="AZ24">
        <v>3</v>
      </c>
      <c r="BA24" t="s">
        <v>28</v>
      </c>
      <c r="BB24" t="s">
        <v>28</v>
      </c>
      <c r="BC24" t="s">
        <v>28</v>
      </c>
      <c r="BD24" t="s">
        <v>28</v>
      </c>
      <c r="BE24">
        <v>381</v>
      </c>
      <c r="BF24">
        <v>396</v>
      </c>
      <c r="BG24" t="s">
        <v>28</v>
      </c>
      <c r="BH24" t="s">
        <v>349</v>
      </c>
      <c r="BI24" t="str">
        <f>HYPERLINK("http://dx.doi.org/10.2166/hydro.2019.007","http://dx.doi.org/10.2166/hydro.2019.007")</f>
        <v>http://dx.doi.org/10.2166/hydro.2019.007</v>
      </c>
      <c r="BJ24" t="s">
        <v>28</v>
      </c>
      <c r="BK24" t="s">
        <v>28</v>
      </c>
      <c r="BL24">
        <v>16</v>
      </c>
      <c r="BM24" t="s">
        <v>3615</v>
      </c>
      <c r="BN24" t="s">
        <v>2314</v>
      </c>
      <c r="BO24" t="s">
        <v>2259</v>
      </c>
      <c r="BP24" t="s">
        <v>3616</v>
      </c>
      <c r="BQ24" t="s">
        <v>28</v>
      </c>
      <c r="BR24" t="s">
        <v>2490</v>
      </c>
      <c r="BS24" t="s">
        <v>28</v>
      </c>
      <c r="BT24" t="s">
        <v>28</v>
      </c>
      <c r="BU24" t="s">
        <v>2261</v>
      </c>
      <c r="BV24" t="s">
        <v>1560</v>
      </c>
      <c r="BW24" t="str">
        <f>HYPERLINK("https%3A%2F%2Fwww.webofscience.com%2Fwos%2Fwoscc%2Ffull-record%2FWOS:000474791900001","View Full Record in Web of Science")</f>
        <v>View Full Record in Web of Science</v>
      </c>
    </row>
    <row r="25" spans="1:75" x14ac:dyDescent="0.35">
      <c r="A25">
        <f>COUNTIF(Scopus!$E$2:$E$128,"="&amp;Tabelle6[[#This Row],[Article Title]])</f>
        <v>1</v>
      </c>
      <c r="B25">
        <v>1</v>
      </c>
      <c r="C25" s="1" t="s">
        <v>2148</v>
      </c>
      <c r="D25" t="s">
        <v>1321</v>
      </c>
      <c r="E25" t="s">
        <v>2669</v>
      </c>
      <c r="F25">
        <v>2012</v>
      </c>
      <c r="G25" t="s">
        <v>974</v>
      </c>
      <c r="H25" t="s">
        <v>28</v>
      </c>
      <c r="I25" t="s">
        <v>28</v>
      </c>
      <c r="J25" t="s">
        <v>28</v>
      </c>
      <c r="K25" t="s">
        <v>2670</v>
      </c>
      <c r="L25" t="s">
        <v>28</v>
      </c>
      <c r="M25" t="s">
        <v>28</v>
      </c>
      <c r="N25" t="s">
        <v>2671</v>
      </c>
      <c r="O25" t="s">
        <v>28</v>
      </c>
      <c r="P25" t="s">
        <v>28</v>
      </c>
      <c r="Q25" t="s">
        <v>2242</v>
      </c>
      <c r="R25" t="s">
        <v>34</v>
      </c>
      <c r="S25" t="s">
        <v>28</v>
      </c>
      <c r="T25" t="s">
        <v>28</v>
      </c>
      <c r="U25" t="s">
        <v>28</v>
      </c>
      <c r="V25" t="s">
        <v>28</v>
      </c>
      <c r="W25" t="s">
        <v>28</v>
      </c>
      <c r="X25" t="s">
        <v>2672</v>
      </c>
      <c r="Y25" t="s">
        <v>2673</v>
      </c>
      <c r="Z25" t="s">
        <v>2674</v>
      </c>
      <c r="AA25" t="s">
        <v>2675</v>
      </c>
      <c r="AB25" t="s">
        <v>28</v>
      </c>
      <c r="AC25" t="s">
        <v>2676</v>
      </c>
      <c r="AD25" t="s">
        <v>2677</v>
      </c>
      <c r="AE25" t="s">
        <v>28</v>
      </c>
      <c r="AF25" t="s">
        <v>28</v>
      </c>
      <c r="AG25" t="s">
        <v>28</v>
      </c>
      <c r="AH25" t="s">
        <v>28</v>
      </c>
      <c r="AI25" t="s">
        <v>28</v>
      </c>
      <c r="AJ25" t="s">
        <v>28</v>
      </c>
      <c r="AK25">
        <v>34</v>
      </c>
      <c r="AL25">
        <v>30</v>
      </c>
      <c r="AM25">
        <v>31</v>
      </c>
      <c r="AN25">
        <v>2</v>
      </c>
      <c r="AO25">
        <v>30</v>
      </c>
      <c r="AP25" t="s">
        <v>2252</v>
      </c>
      <c r="AQ25" t="s">
        <v>2253</v>
      </c>
      <c r="AR25" t="s">
        <v>2254</v>
      </c>
      <c r="AS25" t="s">
        <v>2678</v>
      </c>
      <c r="AT25" t="s">
        <v>2679</v>
      </c>
      <c r="AU25" t="s">
        <v>28</v>
      </c>
      <c r="AV25" t="s">
        <v>2680</v>
      </c>
      <c r="AW25" t="s">
        <v>2681</v>
      </c>
      <c r="AX25" t="s">
        <v>1701</v>
      </c>
      <c r="AY25">
        <v>36</v>
      </c>
      <c r="AZ25">
        <v>2</v>
      </c>
      <c r="BA25" t="s">
        <v>28</v>
      </c>
      <c r="BB25" t="s">
        <v>28</v>
      </c>
      <c r="BC25" t="s">
        <v>1639</v>
      </c>
      <c r="BD25" t="s">
        <v>28</v>
      </c>
      <c r="BE25">
        <v>186</v>
      </c>
      <c r="BF25">
        <v>194</v>
      </c>
      <c r="BG25" t="s">
        <v>28</v>
      </c>
      <c r="BH25" t="s">
        <v>977</v>
      </c>
      <c r="BI25" t="str">
        <f>HYPERLINK("http://dx.doi.org/10.1016/j.compenvurbsys.2011.11.005","http://dx.doi.org/10.1016/j.compenvurbsys.2011.11.005")</f>
        <v>http://dx.doi.org/10.1016/j.compenvurbsys.2011.11.005</v>
      </c>
      <c r="BJ25" t="s">
        <v>28</v>
      </c>
      <c r="BK25" t="s">
        <v>28</v>
      </c>
      <c r="BL25">
        <v>9</v>
      </c>
      <c r="BM25" t="s">
        <v>2682</v>
      </c>
      <c r="BN25" t="s">
        <v>2465</v>
      </c>
      <c r="BO25" t="s">
        <v>2683</v>
      </c>
      <c r="BP25" t="s">
        <v>2684</v>
      </c>
      <c r="BQ25" t="s">
        <v>28</v>
      </c>
      <c r="BR25" t="s">
        <v>28</v>
      </c>
      <c r="BS25" t="s">
        <v>28</v>
      </c>
      <c r="BT25" t="s">
        <v>28</v>
      </c>
      <c r="BU25" t="s">
        <v>2261</v>
      </c>
      <c r="BV25" t="s">
        <v>2685</v>
      </c>
      <c r="BW25" t="str">
        <f>HYPERLINK("https%3A%2F%2Fwww.webofscience.com%2Fwos%2Fwoscc%2Ffull-record%2FWOS:000302488500009","View Full Record in Web of Science")</f>
        <v>View Full Record in Web of Science</v>
      </c>
    </row>
    <row r="26" spans="1:75" x14ac:dyDescent="0.35">
      <c r="A26">
        <f>COUNTIF(Scopus!$E$2:$E$128,"="&amp;Tabelle6[[#This Row],[Article Title]])</f>
        <v>1</v>
      </c>
      <c r="B26">
        <v>1</v>
      </c>
      <c r="C26" s="1" t="s">
        <v>2148</v>
      </c>
      <c r="D26" t="s">
        <v>1321</v>
      </c>
      <c r="E26" t="s">
        <v>1985</v>
      </c>
      <c r="F26">
        <v>2009</v>
      </c>
      <c r="G26" t="s">
        <v>1987</v>
      </c>
      <c r="H26" t="s">
        <v>28</v>
      </c>
      <c r="I26" t="s">
        <v>28</v>
      </c>
      <c r="J26" t="s">
        <v>28</v>
      </c>
      <c r="K26" t="s">
        <v>1986</v>
      </c>
      <c r="L26" t="s">
        <v>28</v>
      </c>
      <c r="M26" t="s">
        <v>28</v>
      </c>
      <c r="N26" t="s">
        <v>1846</v>
      </c>
      <c r="O26" t="s">
        <v>28</v>
      </c>
      <c r="P26" t="s">
        <v>28</v>
      </c>
      <c r="Q26" t="s">
        <v>2242</v>
      </c>
      <c r="R26" t="s">
        <v>34</v>
      </c>
      <c r="S26" t="s">
        <v>28</v>
      </c>
      <c r="T26" t="s">
        <v>28</v>
      </c>
      <c r="U26" t="s">
        <v>28</v>
      </c>
      <c r="V26" t="s">
        <v>28</v>
      </c>
      <c r="W26" t="s">
        <v>28</v>
      </c>
      <c r="X26" t="s">
        <v>2318</v>
      </c>
      <c r="Y26" t="s">
        <v>2319</v>
      </c>
      <c r="Z26" t="s">
        <v>2320</v>
      </c>
      <c r="AA26" t="s">
        <v>2321</v>
      </c>
      <c r="AB26" t="s">
        <v>28</v>
      </c>
      <c r="AC26" t="s">
        <v>2322</v>
      </c>
      <c r="AD26" t="s">
        <v>2323</v>
      </c>
      <c r="AE26" t="s">
        <v>28</v>
      </c>
      <c r="AF26" t="s">
        <v>28</v>
      </c>
      <c r="AG26" t="s">
        <v>2324</v>
      </c>
      <c r="AH26" t="s">
        <v>2325</v>
      </c>
      <c r="AI26" t="s">
        <v>2326</v>
      </c>
      <c r="AJ26" t="s">
        <v>28</v>
      </c>
      <c r="AK26">
        <v>64</v>
      </c>
      <c r="AL26">
        <v>68</v>
      </c>
      <c r="AM26">
        <v>72</v>
      </c>
      <c r="AN26">
        <v>3</v>
      </c>
      <c r="AO26">
        <v>59</v>
      </c>
      <c r="AP26" t="s">
        <v>2327</v>
      </c>
      <c r="AQ26" t="s">
        <v>2328</v>
      </c>
      <c r="AR26" t="s">
        <v>2329</v>
      </c>
      <c r="AS26" t="s">
        <v>1848</v>
      </c>
      <c r="AT26" t="s">
        <v>1849</v>
      </c>
      <c r="AU26" t="s">
        <v>28</v>
      </c>
      <c r="AV26" t="s">
        <v>2330</v>
      </c>
      <c r="AW26" t="s">
        <v>2331</v>
      </c>
      <c r="AX26" t="s">
        <v>1988</v>
      </c>
      <c r="AY26">
        <v>23</v>
      </c>
      <c r="AZ26">
        <v>15</v>
      </c>
      <c r="BA26" t="s">
        <v>28</v>
      </c>
      <c r="BB26" t="s">
        <v>28</v>
      </c>
      <c r="BC26" t="s">
        <v>28</v>
      </c>
      <c r="BD26" t="s">
        <v>28</v>
      </c>
      <c r="BE26">
        <v>3267</v>
      </c>
      <c r="BF26">
        <v>3295</v>
      </c>
      <c r="BG26" t="s">
        <v>28</v>
      </c>
      <c r="BH26" t="s">
        <v>1074</v>
      </c>
      <c r="BI26" t="str">
        <f>HYPERLINK("http://dx.doi.org/10.1007/s11269-009-9433-2","http://dx.doi.org/10.1007/s11269-009-9433-2")</f>
        <v>http://dx.doi.org/10.1007/s11269-009-9433-2</v>
      </c>
      <c r="BJ26" t="s">
        <v>28</v>
      </c>
      <c r="BK26" t="s">
        <v>28</v>
      </c>
      <c r="BL26">
        <v>29</v>
      </c>
      <c r="BM26" t="s">
        <v>2332</v>
      </c>
      <c r="BN26" t="s">
        <v>2258</v>
      </c>
      <c r="BO26" t="s">
        <v>2333</v>
      </c>
      <c r="BP26" t="s">
        <v>2334</v>
      </c>
      <c r="BQ26" t="s">
        <v>28</v>
      </c>
      <c r="BR26" t="s">
        <v>28</v>
      </c>
      <c r="BS26" t="s">
        <v>28</v>
      </c>
      <c r="BT26" t="s">
        <v>28</v>
      </c>
      <c r="BU26" t="s">
        <v>2261</v>
      </c>
      <c r="BV26" t="s">
        <v>1989</v>
      </c>
      <c r="BW26" t="str">
        <f>HYPERLINK("https%3A%2F%2Fwww.webofscience.com%2Fwos%2Fwoscc%2Ffull-record%2FWOS:000271989700010","View Full Record in Web of Science")</f>
        <v>View Full Record in Web of Science</v>
      </c>
    </row>
    <row r="27" spans="1:75" x14ac:dyDescent="0.35">
      <c r="A27">
        <f>COUNTIF(Scopus!$E$2:$E$128,"="&amp;Tabelle6[[#This Row],[Article Title]])</f>
        <v>1</v>
      </c>
      <c r="B27">
        <v>1</v>
      </c>
      <c r="C27" s="1" t="s">
        <v>2148</v>
      </c>
      <c r="D27" t="s">
        <v>1321</v>
      </c>
      <c r="E27" t="s">
        <v>3024</v>
      </c>
      <c r="F27">
        <v>2013</v>
      </c>
      <c r="G27" t="s">
        <v>3026</v>
      </c>
      <c r="H27" t="s">
        <v>28</v>
      </c>
      <c r="I27" t="s">
        <v>28</v>
      </c>
      <c r="J27" t="s">
        <v>28</v>
      </c>
      <c r="K27" t="s">
        <v>3025</v>
      </c>
      <c r="L27" t="s">
        <v>28</v>
      </c>
      <c r="M27" t="s">
        <v>28</v>
      </c>
      <c r="N27" t="s">
        <v>3027</v>
      </c>
      <c r="O27" t="s">
        <v>28</v>
      </c>
      <c r="P27" t="s">
        <v>28</v>
      </c>
      <c r="Q27" t="s">
        <v>2242</v>
      </c>
      <c r="R27" t="s">
        <v>34</v>
      </c>
      <c r="S27" t="s">
        <v>28</v>
      </c>
      <c r="T27" t="s">
        <v>28</v>
      </c>
      <c r="U27" t="s">
        <v>28</v>
      </c>
      <c r="V27" t="s">
        <v>28</v>
      </c>
      <c r="W27" t="s">
        <v>28</v>
      </c>
      <c r="X27" t="s">
        <v>3028</v>
      </c>
      <c r="Y27" t="s">
        <v>3029</v>
      </c>
      <c r="Z27" t="s">
        <v>3030</v>
      </c>
      <c r="AA27" t="s">
        <v>3031</v>
      </c>
      <c r="AB27" t="s">
        <v>28</v>
      </c>
      <c r="AC27" t="s">
        <v>3032</v>
      </c>
      <c r="AD27" t="s">
        <v>3033</v>
      </c>
      <c r="AE27" t="s">
        <v>28</v>
      </c>
      <c r="AF27" t="s">
        <v>3034</v>
      </c>
      <c r="AG27" t="s">
        <v>28</v>
      </c>
      <c r="AH27" t="s">
        <v>28</v>
      </c>
      <c r="AI27" t="s">
        <v>28</v>
      </c>
      <c r="AJ27" t="s">
        <v>28</v>
      </c>
      <c r="AK27">
        <v>52</v>
      </c>
      <c r="AL27">
        <v>8</v>
      </c>
      <c r="AM27">
        <v>8</v>
      </c>
      <c r="AN27">
        <v>2</v>
      </c>
      <c r="AO27">
        <v>12</v>
      </c>
      <c r="AP27" t="s">
        <v>3035</v>
      </c>
      <c r="AQ27" t="s">
        <v>3036</v>
      </c>
      <c r="AR27" t="s">
        <v>3037</v>
      </c>
      <c r="AS27" t="s">
        <v>3038</v>
      </c>
      <c r="AT27" t="s">
        <v>28</v>
      </c>
      <c r="AU27" t="s">
        <v>28</v>
      </c>
      <c r="AV27" t="s">
        <v>3039</v>
      </c>
      <c r="AW27" t="s">
        <v>472</v>
      </c>
      <c r="AX27" t="s">
        <v>1522</v>
      </c>
      <c r="AY27">
        <v>16</v>
      </c>
      <c r="AZ27">
        <v>4</v>
      </c>
      <c r="BA27" t="s">
        <v>28</v>
      </c>
      <c r="BB27" t="s">
        <v>28</v>
      </c>
      <c r="BC27" t="s">
        <v>28</v>
      </c>
      <c r="BD27" t="s">
        <v>28</v>
      </c>
      <c r="BE27" t="s">
        <v>28</v>
      </c>
      <c r="BF27" t="s">
        <v>28</v>
      </c>
      <c r="BG27">
        <v>4</v>
      </c>
      <c r="BH27" t="s">
        <v>938</v>
      </c>
      <c r="BI27" t="str">
        <f>HYPERLINK("http://dx.doi.org/10.18564/jasss.2308","http://dx.doi.org/10.18564/jasss.2308")</f>
        <v>http://dx.doi.org/10.18564/jasss.2308</v>
      </c>
      <c r="BJ27" t="s">
        <v>28</v>
      </c>
      <c r="BK27" t="s">
        <v>28</v>
      </c>
      <c r="BL27">
        <v>22</v>
      </c>
      <c r="BM27" t="s">
        <v>3019</v>
      </c>
      <c r="BN27" t="s">
        <v>2465</v>
      </c>
      <c r="BO27" t="s">
        <v>3020</v>
      </c>
      <c r="BP27" t="s">
        <v>3040</v>
      </c>
      <c r="BQ27" t="s">
        <v>28</v>
      </c>
      <c r="BR27" t="s">
        <v>2648</v>
      </c>
      <c r="BS27" t="s">
        <v>28</v>
      </c>
      <c r="BT27" t="s">
        <v>28</v>
      </c>
      <c r="BU27" t="s">
        <v>2261</v>
      </c>
      <c r="BV27" t="s">
        <v>3041</v>
      </c>
      <c r="BW27" t="str">
        <f>HYPERLINK("https%3A%2F%2Fwww.webofscience.com%2Fwos%2Fwoscc%2Ffull-record%2FWOS:000330124700004","View Full Record in Web of Science")</f>
        <v>View Full Record in Web of Science</v>
      </c>
    </row>
    <row r="28" spans="1:75" ht="23" customHeight="1" x14ac:dyDescent="0.35">
      <c r="A28">
        <f>COUNTIF(Scopus!$E$2:$E$128,"="&amp;Tabelle6[[#This Row],[Article Title]])</f>
        <v>0</v>
      </c>
      <c r="B28">
        <v>0</v>
      </c>
      <c r="C28" t="s">
        <v>4532</v>
      </c>
      <c r="D28" t="s">
        <v>1417</v>
      </c>
      <c r="E28" t="s">
        <v>2097</v>
      </c>
      <c r="F28">
        <v>2005</v>
      </c>
      <c r="G28" s="5" t="s">
        <v>2100</v>
      </c>
      <c r="H28" t="s">
        <v>28</v>
      </c>
      <c r="I28" t="s">
        <v>2098</v>
      </c>
      <c r="J28" t="s">
        <v>28</v>
      </c>
      <c r="K28" t="s">
        <v>2099</v>
      </c>
      <c r="L28" t="s">
        <v>28</v>
      </c>
      <c r="M28" t="s">
        <v>28</v>
      </c>
      <c r="N28" t="s">
        <v>2101</v>
      </c>
      <c r="O28" t="s">
        <v>28</v>
      </c>
      <c r="P28" t="s">
        <v>28</v>
      </c>
      <c r="Q28" t="s">
        <v>2242</v>
      </c>
      <c r="R28" t="s">
        <v>2345</v>
      </c>
      <c r="S28" t="s">
        <v>2102</v>
      </c>
      <c r="T28" t="s">
        <v>2103</v>
      </c>
      <c r="U28" t="s">
        <v>1720</v>
      </c>
      <c r="V28" t="s">
        <v>28</v>
      </c>
      <c r="W28" t="s">
        <v>28</v>
      </c>
      <c r="X28" t="s">
        <v>2612</v>
      </c>
      <c r="Y28" t="s">
        <v>28</v>
      </c>
      <c r="Z28" t="s">
        <v>2613</v>
      </c>
      <c r="AA28" t="s">
        <v>2614</v>
      </c>
      <c r="AB28" t="s">
        <v>28</v>
      </c>
      <c r="AC28" t="s">
        <v>2615</v>
      </c>
      <c r="AD28" t="s">
        <v>2616</v>
      </c>
      <c r="AE28" t="s">
        <v>2104</v>
      </c>
      <c r="AF28" t="s">
        <v>2105</v>
      </c>
      <c r="AG28" t="s">
        <v>28</v>
      </c>
      <c r="AH28" t="s">
        <v>28</v>
      </c>
      <c r="AI28" t="s">
        <v>28</v>
      </c>
      <c r="AJ28" t="s">
        <v>28</v>
      </c>
      <c r="AK28">
        <v>8</v>
      </c>
      <c r="AL28">
        <v>2</v>
      </c>
      <c r="AM28">
        <v>2</v>
      </c>
      <c r="AN28">
        <v>0</v>
      </c>
      <c r="AO28">
        <v>22</v>
      </c>
      <c r="AP28" t="s">
        <v>2617</v>
      </c>
      <c r="AQ28" t="s">
        <v>2618</v>
      </c>
      <c r="AR28" t="s">
        <v>2619</v>
      </c>
      <c r="AS28" t="s">
        <v>28</v>
      </c>
      <c r="AT28" t="s">
        <v>28</v>
      </c>
      <c r="AU28" t="s">
        <v>2106</v>
      </c>
      <c r="AV28" t="s">
        <v>28</v>
      </c>
      <c r="AW28" t="s">
        <v>28</v>
      </c>
      <c r="AX28" t="s">
        <v>28</v>
      </c>
      <c r="AY28" t="s">
        <v>28</v>
      </c>
      <c r="AZ28" t="s">
        <v>28</v>
      </c>
      <c r="BA28" t="s">
        <v>28</v>
      </c>
      <c r="BB28" t="s">
        <v>28</v>
      </c>
      <c r="BC28" t="s">
        <v>28</v>
      </c>
      <c r="BD28" t="s">
        <v>28</v>
      </c>
      <c r="BE28">
        <v>2026</v>
      </c>
      <c r="BF28">
        <v>2032</v>
      </c>
      <c r="BG28" t="s">
        <v>28</v>
      </c>
      <c r="BH28" t="s">
        <v>28</v>
      </c>
      <c r="BI28" t="s">
        <v>28</v>
      </c>
      <c r="BJ28" t="s">
        <v>28</v>
      </c>
      <c r="BK28" t="s">
        <v>28</v>
      </c>
      <c r="BL28">
        <v>7</v>
      </c>
      <c r="BM28" t="s">
        <v>2620</v>
      </c>
      <c r="BN28" t="s">
        <v>2357</v>
      </c>
      <c r="BO28" t="s">
        <v>2621</v>
      </c>
      <c r="BP28" t="s">
        <v>2622</v>
      </c>
      <c r="BQ28" t="s">
        <v>28</v>
      </c>
      <c r="BR28" t="s">
        <v>28</v>
      </c>
      <c r="BS28" t="s">
        <v>28</v>
      </c>
      <c r="BT28" t="s">
        <v>28</v>
      </c>
      <c r="BU28" t="s">
        <v>2261</v>
      </c>
      <c r="BV28" t="s">
        <v>2107</v>
      </c>
      <c r="BW28" t="str">
        <f>HYPERLINK("https%3A%2F%2Fwww.webofscience.com%2Fwos%2Fwoscc%2Ffull-record%2FWOS:000290114102010","View Full Record in Web of Science")</f>
        <v>View Full Record in Web of Science</v>
      </c>
    </row>
    <row r="29" spans="1:75" x14ac:dyDescent="0.35">
      <c r="A29">
        <f>COUNTIF(Scopus!$E$2:$E$128,"="&amp;Tabelle6[[#This Row],[Article Title]])</f>
        <v>1</v>
      </c>
      <c r="B29">
        <v>1</v>
      </c>
      <c r="C29" s="1" t="s">
        <v>2148</v>
      </c>
      <c r="D29" t="s">
        <v>1321</v>
      </c>
      <c r="E29" t="s">
        <v>1656</v>
      </c>
      <c r="F29">
        <v>2017</v>
      </c>
      <c r="G29" t="s">
        <v>520</v>
      </c>
      <c r="H29" t="s">
        <v>28</v>
      </c>
      <c r="I29" t="s">
        <v>28</v>
      </c>
      <c r="J29" t="s">
        <v>28</v>
      </c>
      <c r="K29" t="s">
        <v>1657</v>
      </c>
      <c r="L29" t="s">
        <v>28</v>
      </c>
      <c r="M29" t="s">
        <v>28</v>
      </c>
      <c r="N29" t="s">
        <v>1658</v>
      </c>
      <c r="O29" t="s">
        <v>28</v>
      </c>
      <c r="P29" t="s">
        <v>28</v>
      </c>
      <c r="Q29" t="s">
        <v>2242</v>
      </c>
      <c r="R29" t="s">
        <v>34</v>
      </c>
      <c r="S29" t="s">
        <v>28</v>
      </c>
      <c r="T29" t="s">
        <v>28</v>
      </c>
      <c r="U29" t="s">
        <v>28</v>
      </c>
      <c r="V29" t="s">
        <v>28</v>
      </c>
      <c r="W29" t="s">
        <v>28</v>
      </c>
      <c r="X29" t="s">
        <v>2391</v>
      </c>
      <c r="Y29" t="s">
        <v>2392</v>
      </c>
      <c r="Z29" t="s">
        <v>2393</v>
      </c>
      <c r="AA29" t="s">
        <v>2394</v>
      </c>
      <c r="AB29" t="s">
        <v>28</v>
      </c>
      <c r="AC29" t="s">
        <v>2395</v>
      </c>
      <c r="AD29" t="s">
        <v>2396</v>
      </c>
      <c r="AE29" t="s">
        <v>1659</v>
      </c>
      <c r="AF29" t="s">
        <v>1660</v>
      </c>
      <c r="AG29" t="s">
        <v>28</v>
      </c>
      <c r="AH29" t="s">
        <v>28</v>
      </c>
      <c r="AI29" t="s">
        <v>28</v>
      </c>
      <c r="AJ29" t="s">
        <v>28</v>
      </c>
      <c r="AK29">
        <v>59</v>
      </c>
      <c r="AL29">
        <v>29</v>
      </c>
      <c r="AM29">
        <v>30</v>
      </c>
      <c r="AN29">
        <v>0</v>
      </c>
      <c r="AO29">
        <v>17</v>
      </c>
      <c r="AP29" t="s">
        <v>2293</v>
      </c>
      <c r="AQ29" t="s">
        <v>2294</v>
      </c>
      <c r="AR29" t="s">
        <v>2295</v>
      </c>
      <c r="AS29" t="s">
        <v>1661</v>
      </c>
      <c r="AT29" t="s">
        <v>1662</v>
      </c>
      <c r="AU29" t="s">
        <v>28</v>
      </c>
      <c r="AV29" t="s">
        <v>2397</v>
      </c>
      <c r="AW29" t="s">
        <v>2398</v>
      </c>
      <c r="AX29" t="s">
        <v>1437</v>
      </c>
      <c r="AY29">
        <v>78</v>
      </c>
      <c r="AZ29" t="s">
        <v>28</v>
      </c>
      <c r="BA29" t="s">
        <v>28</v>
      </c>
      <c r="BB29" t="s">
        <v>28</v>
      </c>
      <c r="BC29" t="s">
        <v>28</v>
      </c>
      <c r="BD29" t="s">
        <v>28</v>
      </c>
      <c r="BE29">
        <v>51</v>
      </c>
      <c r="BF29">
        <v>72</v>
      </c>
      <c r="BG29" t="s">
        <v>28</v>
      </c>
      <c r="BH29" t="s">
        <v>523</v>
      </c>
      <c r="BI29" t="str">
        <f>HYPERLINK("http://dx.doi.org/10.1016/j.simpat.2017.08.006","http://dx.doi.org/10.1016/j.simpat.2017.08.006")</f>
        <v>http://dx.doi.org/10.1016/j.simpat.2017.08.006</v>
      </c>
      <c r="BJ29" t="s">
        <v>28</v>
      </c>
      <c r="BK29" t="s">
        <v>28</v>
      </c>
      <c r="BL29">
        <v>22</v>
      </c>
      <c r="BM29" t="s">
        <v>2313</v>
      </c>
      <c r="BN29" t="s">
        <v>2314</v>
      </c>
      <c r="BO29" t="s">
        <v>2315</v>
      </c>
      <c r="BP29" t="s">
        <v>2399</v>
      </c>
      <c r="BQ29" t="s">
        <v>28</v>
      </c>
      <c r="BR29" t="s">
        <v>28</v>
      </c>
      <c r="BS29" t="s">
        <v>28</v>
      </c>
      <c r="BT29" t="s">
        <v>28</v>
      </c>
      <c r="BU29" t="s">
        <v>2261</v>
      </c>
      <c r="BV29" t="s">
        <v>1663</v>
      </c>
      <c r="BW29" t="str">
        <f>HYPERLINK("https%3A%2F%2Fwww.webofscience.com%2Fwos%2Fwoscc%2Ffull-record%2FWOS:000412256300004","View Full Record in Web of Science")</f>
        <v>View Full Record in Web of Science</v>
      </c>
    </row>
    <row r="30" spans="1:75" x14ac:dyDescent="0.35">
      <c r="A30">
        <f>COUNTIF(Scopus!$E$2:$E$128,"="&amp;Tabelle6[[#This Row],[Article Title]])</f>
        <v>1</v>
      </c>
      <c r="B30">
        <v>1</v>
      </c>
      <c r="C30" s="1" t="s">
        <v>2148</v>
      </c>
      <c r="D30" t="s">
        <v>1321</v>
      </c>
      <c r="E30" t="s">
        <v>1610</v>
      </c>
      <c r="F30">
        <v>2018</v>
      </c>
      <c r="G30" t="s">
        <v>1612</v>
      </c>
      <c r="H30" t="s">
        <v>28</v>
      </c>
      <c r="I30" t="s">
        <v>28</v>
      </c>
      <c r="J30" t="s">
        <v>28</v>
      </c>
      <c r="K30" t="s">
        <v>1611</v>
      </c>
      <c r="L30" t="s">
        <v>28</v>
      </c>
      <c r="M30" t="s">
        <v>28</v>
      </c>
      <c r="N30" t="s">
        <v>1399</v>
      </c>
      <c r="O30" t="s">
        <v>28</v>
      </c>
      <c r="P30" t="s">
        <v>28</v>
      </c>
      <c r="Q30" t="s">
        <v>2242</v>
      </c>
      <c r="R30" t="s">
        <v>34</v>
      </c>
      <c r="S30" t="s">
        <v>28</v>
      </c>
      <c r="T30" t="s">
        <v>28</v>
      </c>
      <c r="U30" t="s">
        <v>28</v>
      </c>
      <c r="V30" t="s">
        <v>28</v>
      </c>
      <c r="W30" t="s">
        <v>28</v>
      </c>
      <c r="X30" t="s">
        <v>3337</v>
      </c>
      <c r="Y30" t="s">
        <v>3338</v>
      </c>
      <c r="Z30" t="s">
        <v>3339</v>
      </c>
      <c r="AA30" t="s">
        <v>3340</v>
      </c>
      <c r="AB30" t="s">
        <v>28</v>
      </c>
      <c r="AC30" t="s">
        <v>3341</v>
      </c>
      <c r="AD30" t="s">
        <v>3342</v>
      </c>
      <c r="AE30" t="s">
        <v>28</v>
      </c>
      <c r="AF30" t="s">
        <v>1613</v>
      </c>
      <c r="AG30" t="s">
        <v>3343</v>
      </c>
      <c r="AH30" t="s">
        <v>2784</v>
      </c>
      <c r="AI30" t="s">
        <v>3344</v>
      </c>
      <c r="AJ30" t="s">
        <v>28</v>
      </c>
      <c r="AK30">
        <v>57</v>
      </c>
      <c r="AL30">
        <v>14</v>
      </c>
      <c r="AM30">
        <v>14</v>
      </c>
      <c r="AN30">
        <v>2</v>
      </c>
      <c r="AO30">
        <v>23</v>
      </c>
      <c r="AP30" t="s">
        <v>2409</v>
      </c>
      <c r="AQ30" t="s">
        <v>2274</v>
      </c>
      <c r="AR30" t="s">
        <v>2410</v>
      </c>
      <c r="AS30" t="s">
        <v>28</v>
      </c>
      <c r="AT30" t="s">
        <v>1400</v>
      </c>
      <c r="AU30" t="s">
        <v>28</v>
      </c>
      <c r="AV30" t="s">
        <v>2276</v>
      </c>
      <c r="AW30" t="s">
        <v>2277</v>
      </c>
      <c r="AX30" t="s">
        <v>1356</v>
      </c>
      <c r="AY30">
        <v>10</v>
      </c>
      <c r="AZ30">
        <v>9</v>
      </c>
      <c r="BA30" t="s">
        <v>28</v>
      </c>
      <c r="BB30" t="s">
        <v>28</v>
      </c>
      <c r="BC30" t="s">
        <v>28</v>
      </c>
      <c r="BD30" t="s">
        <v>28</v>
      </c>
      <c r="BE30" t="s">
        <v>28</v>
      </c>
      <c r="BF30" t="s">
        <v>28</v>
      </c>
      <c r="BG30">
        <v>1139</v>
      </c>
      <c r="BH30" t="s">
        <v>442</v>
      </c>
      <c r="BI30" t="str">
        <f>HYPERLINK("http://dx.doi.org/10.3390/w10091139","http://dx.doi.org/10.3390/w10091139")</f>
        <v>http://dx.doi.org/10.3390/w10091139</v>
      </c>
      <c r="BJ30" t="s">
        <v>28</v>
      </c>
      <c r="BK30" t="s">
        <v>28</v>
      </c>
      <c r="BL30">
        <v>17</v>
      </c>
      <c r="BM30" t="s">
        <v>2278</v>
      </c>
      <c r="BN30" t="s">
        <v>2258</v>
      </c>
      <c r="BO30" t="s">
        <v>2279</v>
      </c>
      <c r="BP30" t="s">
        <v>3345</v>
      </c>
      <c r="BQ30" t="s">
        <v>28</v>
      </c>
      <c r="BR30" t="s">
        <v>2281</v>
      </c>
      <c r="BS30" t="s">
        <v>28</v>
      </c>
      <c r="BT30" t="s">
        <v>28</v>
      </c>
      <c r="BU30" t="s">
        <v>2261</v>
      </c>
      <c r="BV30" t="s">
        <v>1614</v>
      </c>
      <c r="BW30" t="str">
        <f>HYPERLINK("https%3A%2F%2Fwww.webofscience.com%2Fwos%2Fwoscc%2Ffull-record%2FWOS:000448821900031","View Full Record in Web of Science")</f>
        <v>View Full Record in Web of Science</v>
      </c>
    </row>
    <row r="31" spans="1:75" x14ac:dyDescent="0.35">
      <c r="A31">
        <f>COUNTIF(Scopus!$E$2:$E$128,"="&amp;Tabelle6[[#This Row],[Article Title]])</f>
        <v>0</v>
      </c>
      <c r="B31">
        <v>3</v>
      </c>
      <c r="C31" s="1" t="s">
        <v>2149</v>
      </c>
      <c r="D31" t="s">
        <v>1321</v>
      </c>
      <c r="E31" t="s">
        <v>1404</v>
      </c>
      <c r="F31">
        <v>2021</v>
      </c>
      <c r="G31" t="s">
        <v>1406</v>
      </c>
      <c r="H31" t="s">
        <v>28</v>
      </c>
      <c r="I31" t="s">
        <v>28</v>
      </c>
      <c r="J31" t="s">
        <v>28</v>
      </c>
      <c r="K31" t="s">
        <v>1405</v>
      </c>
      <c r="L31" t="s">
        <v>28</v>
      </c>
      <c r="M31" t="s">
        <v>28</v>
      </c>
      <c r="N31" t="s">
        <v>1407</v>
      </c>
      <c r="O31" t="s">
        <v>28</v>
      </c>
      <c r="P31" t="s">
        <v>28</v>
      </c>
      <c r="Q31" t="s">
        <v>2242</v>
      </c>
      <c r="R31" t="s">
        <v>34</v>
      </c>
      <c r="S31" t="s">
        <v>28</v>
      </c>
      <c r="T31" t="s">
        <v>28</v>
      </c>
      <c r="U31" t="s">
        <v>28</v>
      </c>
      <c r="V31" t="s">
        <v>28</v>
      </c>
      <c r="W31" t="s">
        <v>28</v>
      </c>
      <c r="X31" t="s">
        <v>3313</v>
      </c>
      <c r="Y31" t="s">
        <v>28</v>
      </c>
      <c r="Z31" t="s">
        <v>3314</v>
      </c>
      <c r="AA31" t="s">
        <v>3315</v>
      </c>
      <c r="AB31" t="s">
        <v>28</v>
      </c>
      <c r="AC31" t="s">
        <v>3316</v>
      </c>
      <c r="AD31" t="s">
        <v>3317</v>
      </c>
      <c r="AE31" t="s">
        <v>28</v>
      </c>
      <c r="AF31" t="s">
        <v>28</v>
      </c>
      <c r="AG31" t="s">
        <v>3318</v>
      </c>
      <c r="AH31" t="s">
        <v>3318</v>
      </c>
      <c r="AI31" t="s">
        <v>3319</v>
      </c>
      <c r="AJ31" t="s">
        <v>28</v>
      </c>
      <c r="AK31">
        <v>105</v>
      </c>
      <c r="AL31">
        <v>1</v>
      </c>
      <c r="AM31">
        <v>1</v>
      </c>
      <c r="AN31">
        <v>2</v>
      </c>
      <c r="AO31">
        <v>17</v>
      </c>
      <c r="AP31" t="s">
        <v>2293</v>
      </c>
      <c r="AQ31" t="s">
        <v>2294</v>
      </c>
      <c r="AR31" t="s">
        <v>2295</v>
      </c>
      <c r="AS31" t="s">
        <v>1408</v>
      </c>
      <c r="AT31" t="s">
        <v>1409</v>
      </c>
      <c r="AU31" t="s">
        <v>28</v>
      </c>
      <c r="AV31" t="s">
        <v>3320</v>
      </c>
      <c r="AW31" t="s">
        <v>3321</v>
      </c>
      <c r="AX31" t="s">
        <v>1410</v>
      </c>
      <c r="AY31">
        <v>447</v>
      </c>
      <c r="AZ31" t="s">
        <v>28</v>
      </c>
      <c r="BA31" t="s">
        <v>28</v>
      </c>
      <c r="BB31" t="s">
        <v>28</v>
      </c>
      <c r="BC31" t="s">
        <v>28</v>
      </c>
      <c r="BD31" t="s">
        <v>28</v>
      </c>
      <c r="BE31" t="s">
        <v>28</v>
      </c>
      <c r="BF31" t="s">
        <v>28</v>
      </c>
      <c r="BG31">
        <v>109499</v>
      </c>
      <c r="BH31" t="s">
        <v>1411</v>
      </c>
      <c r="BI31" t="str">
        <f>HYPERLINK("http://dx.doi.org/10.1016/j.ecolmodel.2021.109499","http://dx.doi.org/10.1016/j.ecolmodel.2021.109499")</f>
        <v>http://dx.doi.org/10.1016/j.ecolmodel.2021.109499</v>
      </c>
      <c r="BJ31" t="s">
        <v>28</v>
      </c>
      <c r="BK31" t="s">
        <v>3322</v>
      </c>
      <c r="BL31">
        <v>14</v>
      </c>
      <c r="BM31" t="s">
        <v>3323</v>
      </c>
      <c r="BN31" t="s">
        <v>2314</v>
      </c>
      <c r="BO31" t="s">
        <v>2436</v>
      </c>
      <c r="BP31" t="s">
        <v>3324</v>
      </c>
      <c r="BQ31" t="s">
        <v>28</v>
      </c>
      <c r="BR31" t="s">
        <v>28</v>
      </c>
      <c r="BS31" t="s">
        <v>28</v>
      </c>
      <c r="BT31" t="s">
        <v>28</v>
      </c>
      <c r="BU31" t="s">
        <v>2261</v>
      </c>
      <c r="BV31" t="s">
        <v>1412</v>
      </c>
      <c r="BW31" t="str">
        <f>HYPERLINK("https%3A%2F%2Fwww.webofscience.com%2Fwos%2Fwoscc%2Ffull-record%2FWOS:000635447500006","View Full Record in Web of Science")</f>
        <v>View Full Record in Web of Science</v>
      </c>
    </row>
    <row r="32" spans="1:75" x14ac:dyDescent="0.35">
      <c r="A32">
        <f>COUNTIF(Scopus!$E$2:$E$128,"="&amp;Tabelle6[[#This Row],[Article Title]])</f>
        <v>1</v>
      </c>
      <c r="B32">
        <v>1</v>
      </c>
      <c r="C32" s="1" t="s">
        <v>2148</v>
      </c>
      <c r="D32" t="s">
        <v>1417</v>
      </c>
      <c r="E32" t="s">
        <v>1580</v>
      </c>
      <c r="F32">
        <v>2019</v>
      </c>
      <c r="G32" t="s">
        <v>1582</v>
      </c>
      <c r="H32" t="s">
        <v>28</v>
      </c>
      <c r="I32" t="s">
        <v>28</v>
      </c>
      <c r="J32" t="s">
        <v>1419</v>
      </c>
      <c r="K32" t="s">
        <v>1581</v>
      </c>
      <c r="L32" t="s">
        <v>28</v>
      </c>
      <c r="M32" t="s">
        <v>28</v>
      </c>
      <c r="N32" t="s">
        <v>1583</v>
      </c>
      <c r="O32" t="s">
        <v>1584</v>
      </c>
      <c r="P32" t="s">
        <v>28</v>
      </c>
      <c r="Q32" t="s">
        <v>2242</v>
      </c>
      <c r="R32" t="s">
        <v>2345</v>
      </c>
      <c r="S32" t="s">
        <v>1585</v>
      </c>
      <c r="T32" t="s">
        <v>1586</v>
      </c>
      <c r="U32" t="s">
        <v>1587</v>
      </c>
      <c r="V32" t="s">
        <v>28</v>
      </c>
      <c r="W32" t="s">
        <v>28</v>
      </c>
      <c r="X32" t="s">
        <v>28</v>
      </c>
      <c r="Y32" t="s">
        <v>2958</v>
      </c>
      <c r="Z32" t="s">
        <v>2959</v>
      </c>
      <c r="AA32" t="s">
        <v>2960</v>
      </c>
      <c r="AB32" t="s">
        <v>28</v>
      </c>
      <c r="AC32" t="s">
        <v>2961</v>
      </c>
      <c r="AD32" t="s">
        <v>2962</v>
      </c>
      <c r="AE32" t="s">
        <v>1588</v>
      </c>
      <c r="AF32" t="s">
        <v>1589</v>
      </c>
      <c r="AG32" t="s">
        <v>28</v>
      </c>
      <c r="AH32" t="s">
        <v>28</v>
      </c>
      <c r="AI32" t="s">
        <v>28</v>
      </c>
      <c r="AJ32" t="s">
        <v>28</v>
      </c>
      <c r="AK32">
        <v>29</v>
      </c>
      <c r="AL32">
        <v>3</v>
      </c>
      <c r="AM32">
        <v>3</v>
      </c>
      <c r="AN32">
        <v>1</v>
      </c>
      <c r="AO32">
        <v>4</v>
      </c>
      <c r="AP32" t="s">
        <v>1419</v>
      </c>
      <c r="AQ32" t="s">
        <v>2354</v>
      </c>
      <c r="AR32" t="s">
        <v>2691</v>
      </c>
      <c r="AS32" t="s">
        <v>1590</v>
      </c>
      <c r="AT32" t="s">
        <v>28</v>
      </c>
      <c r="AU32" t="s">
        <v>1591</v>
      </c>
      <c r="AV32" t="s">
        <v>2692</v>
      </c>
      <c r="AW32" t="s">
        <v>28</v>
      </c>
      <c r="AX32" t="s">
        <v>28</v>
      </c>
      <c r="AY32" t="s">
        <v>28</v>
      </c>
      <c r="AZ32" t="s">
        <v>28</v>
      </c>
      <c r="BA32" t="s">
        <v>28</v>
      </c>
      <c r="BB32" t="s">
        <v>28</v>
      </c>
      <c r="BC32" t="s">
        <v>28</v>
      </c>
      <c r="BD32" t="s">
        <v>28</v>
      </c>
      <c r="BE32">
        <v>866</v>
      </c>
      <c r="BF32">
        <v>877</v>
      </c>
      <c r="BG32" t="s">
        <v>28</v>
      </c>
      <c r="BH32" t="s">
        <v>28</v>
      </c>
      <c r="BI32" t="s">
        <v>28</v>
      </c>
      <c r="BJ32" t="s">
        <v>28</v>
      </c>
      <c r="BK32" t="s">
        <v>28</v>
      </c>
      <c r="BL32">
        <v>12</v>
      </c>
      <c r="BM32" t="s">
        <v>2963</v>
      </c>
      <c r="BN32" t="s">
        <v>2357</v>
      </c>
      <c r="BO32" t="s">
        <v>2315</v>
      </c>
      <c r="BP32" t="s">
        <v>2964</v>
      </c>
      <c r="BQ32" t="s">
        <v>28</v>
      </c>
      <c r="BR32" t="s">
        <v>28</v>
      </c>
      <c r="BS32" t="s">
        <v>28</v>
      </c>
      <c r="BT32" t="s">
        <v>28</v>
      </c>
      <c r="BU32" t="s">
        <v>2261</v>
      </c>
      <c r="BV32" t="s">
        <v>1592</v>
      </c>
      <c r="BW32" t="str">
        <f>HYPERLINK("https%3A%2F%2Fwww.webofscience.com%2Fwos%2Fwoscc%2Ffull-record%2FWOS:000529791400068","View Full Record in Web of Science")</f>
        <v>View Full Record in Web of Science</v>
      </c>
    </row>
    <row r="33" spans="1:75" x14ac:dyDescent="0.35">
      <c r="A33">
        <f>COUNTIF(Scopus!$E$2:$E$128,"="&amp;Tabelle6[[#This Row],[Article Title]])</f>
        <v>0</v>
      </c>
      <c r="B33">
        <v>3</v>
      </c>
      <c r="C33" s="1" t="s">
        <v>2149</v>
      </c>
      <c r="D33" t="s">
        <v>1321</v>
      </c>
      <c r="E33" t="s">
        <v>1382</v>
      </c>
      <c r="F33">
        <v>2021</v>
      </c>
      <c r="G33" t="s">
        <v>1384</v>
      </c>
      <c r="H33" t="s">
        <v>28</v>
      </c>
      <c r="I33" t="s">
        <v>28</v>
      </c>
      <c r="J33" t="s">
        <v>28</v>
      </c>
      <c r="K33" t="s">
        <v>1383</v>
      </c>
      <c r="L33" t="s">
        <v>28</v>
      </c>
      <c r="M33" t="s">
        <v>28</v>
      </c>
      <c r="N33" t="s">
        <v>1385</v>
      </c>
      <c r="O33" t="s">
        <v>28</v>
      </c>
      <c r="P33" t="s">
        <v>28</v>
      </c>
      <c r="Q33" t="s">
        <v>2242</v>
      </c>
      <c r="R33" t="s">
        <v>34</v>
      </c>
      <c r="S33" t="s">
        <v>28</v>
      </c>
      <c r="T33" t="s">
        <v>28</v>
      </c>
      <c r="U33" t="s">
        <v>28</v>
      </c>
      <c r="V33" t="s">
        <v>28</v>
      </c>
      <c r="W33" t="s">
        <v>28</v>
      </c>
      <c r="X33" t="s">
        <v>2983</v>
      </c>
      <c r="Y33" t="s">
        <v>2984</v>
      </c>
      <c r="Z33" t="s">
        <v>2985</v>
      </c>
      <c r="AA33" t="s">
        <v>2986</v>
      </c>
      <c r="AB33" t="s">
        <v>28</v>
      </c>
      <c r="AC33" t="s">
        <v>2987</v>
      </c>
      <c r="AD33" t="s">
        <v>2988</v>
      </c>
      <c r="AE33" t="s">
        <v>2989</v>
      </c>
      <c r="AF33" t="s">
        <v>2990</v>
      </c>
      <c r="AG33" t="s">
        <v>28</v>
      </c>
      <c r="AH33" t="s">
        <v>28</v>
      </c>
      <c r="AI33" t="s">
        <v>28</v>
      </c>
      <c r="AJ33" t="s">
        <v>28</v>
      </c>
      <c r="AK33">
        <v>27</v>
      </c>
      <c r="AL33">
        <v>5</v>
      </c>
      <c r="AM33">
        <v>5</v>
      </c>
      <c r="AN33">
        <v>11</v>
      </c>
      <c r="AO33">
        <v>20</v>
      </c>
      <c r="AP33" t="s">
        <v>2293</v>
      </c>
      <c r="AQ33" t="s">
        <v>2294</v>
      </c>
      <c r="AR33" t="s">
        <v>2295</v>
      </c>
      <c r="AS33" t="s">
        <v>1386</v>
      </c>
      <c r="AT33" t="s">
        <v>1387</v>
      </c>
      <c r="AU33" t="s">
        <v>28</v>
      </c>
      <c r="AV33" t="s">
        <v>2296</v>
      </c>
      <c r="AW33" t="s">
        <v>2297</v>
      </c>
      <c r="AX33" t="s">
        <v>1388</v>
      </c>
      <c r="AY33">
        <v>170</v>
      </c>
      <c r="AZ33" t="s">
        <v>28</v>
      </c>
      <c r="BA33" t="s">
        <v>28</v>
      </c>
      <c r="BB33" t="s">
        <v>28</v>
      </c>
      <c r="BC33" t="s">
        <v>28</v>
      </c>
      <c r="BD33" t="s">
        <v>28</v>
      </c>
      <c r="BE33" t="s">
        <v>28</v>
      </c>
      <c r="BF33" t="s">
        <v>28</v>
      </c>
      <c r="BG33">
        <v>105573</v>
      </c>
      <c r="BH33" t="s">
        <v>139</v>
      </c>
      <c r="BI33" t="str">
        <f>HYPERLINK("http://dx.doi.org/10.1016/j.resconrec.2021.105573","http://dx.doi.org/10.1016/j.resconrec.2021.105573")</f>
        <v>http://dx.doi.org/10.1016/j.resconrec.2021.105573</v>
      </c>
      <c r="BJ33" t="s">
        <v>28</v>
      </c>
      <c r="BK33" t="s">
        <v>2991</v>
      </c>
      <c r="BL33">
        <v>19</v>
      </c>
      <c r="BM33" t="s">
        <v>2299</v>
      </c>
      <c r="BN33" t="s">
        <v>2314</v>
      </c>
      <c r="BO33" t="s">
        <v>2300</v>
      </c>
      <c r="BP33" t="s">
        <v>2992</v>
      </c>
      <c r="BQ33" t="s">
        <v>28</v>
      </c>
      <c r="BR33" t="s">
        <v>28</v>
      </c>
      <c r="BS33" t="s">
        <v>28</v>
      </c>
      <c r="BT33" t="s">
        <v>28</v>
      </c>
      <c r="BU33" t="s">
        <v>2261</v>
      </c>
      <c r="BV33" t="s">
        <v>1389</v>
      </c>
      <c r="BW33" t="str">
        <f>HYPERLINK("https%3A%2F%2Fwww.webofscience.com%2Fwos%2Fwoscc%2Ffull-record%2FWOS:000667309200017","View Full Record in Web of Science")</f>
        <v>View Full Record in Web of Science</v>
      </c>
    </row>
    <row r="34" spans="1:75" x14ac:dyDescent="0.35">
      <c r="A34">
        <f>COUNTIF(Scopus!$E$2:$E$128,"="&amp;Tabelle6[[#This Row],[Article Title]])</f>
        <v>0</v>
      </c>
      <c r="B34">
        <v>3</v>
      </c>
      <c r="C34" s="1" t="s">
        <v>2149</v>
      </c>
      <c r="D34" t="s">
        <v>1321</v>
      </c>
      <c r="E34" t="s">
        <v>1938</v>
      </c>
      <c r="F34">
        <v>2011</v>
      </c>
      <c r="G34" t="s">
        <v>1940</v>
      </c>
      <c r="H34" t="s">
        <v>28</v>
      </c>
      <c r="I34" t="s">
        <v>28</v>
      </c>
      <c r="J34" t="s">
        <v>28</v>
      </c>
      <c r="K34" t="s">
        <v>1939</v>
      </c>
      <c r="L34" t="s">
        <v>28</v>
      </c>
      <c r="M34" t="s">
        <v>28</v>
      </c>
      <c r="N34" t="s">
        <v>1407</v>
      </c>
      <c r="O34" t="s">
        <v>28</v>
      </c>
      <c r="P34" t="s">
        <v>28</v>
      </c>
      <c r="Q34" t="s">
        <v>2242</v>
      </c>
      <c r="R34" t="s">
        <v>34</v>
      </c>
      <c r="S34" t="s">
        <v>28</v>
      </c>
      <c r="T34" t="s">
        <v>28</v>
      </c>
      <c r="U34" t="s">
        <v>28</v>
      </c>
      <c r="V34" t="s">
        <v>28</v>
      </c>
      <c r="W34" t="s">
        <v>28</v>
      </c>
      <c r="X34" t="s">
        <v>3935</v>
      </c>
      <c r="Y34" t="s">
        <v>3936</v>
      </c>
      <c r="Z34" t="s">
        <v>3937</v>
      </c>
      <c r="AA34" t="s">
        <v>3938</v>
      </c>
      <c r="AB34" t="s">
        <v>28</v>
      </c>
      <c r="AC34" t="s">
        <v>3939</v>
      </c>
      <c r="AD34" t="s">
        <v>3940</v>
      </c>
      <c r="AE34" t="s">
        <v>28</v>
      </c>
      <c r="AF34" t="s">
        <v>1941</v>
      </c>
      <c r="AG34" t="s">
        <v>3941</v>
      </c>
      <c r="AH34" t="s">
        <v>3942</v>
      </c>
      <c r="AI34" t="s">
        <v>3943</v>
      </c>
      <c r="AJ34" t="s">
        <v>28</v>
      </c>
      <c r="AK34">
        <v>72</v>
      </c>
      <c r="AL34">
        <v>52</v>
      </c>
      <c r="AM34">
        <v>53</v>
      </c>
      <c r="AN34">
        <v>1</v>
      </c>
      <c r="AO34">
        <v>61</v>
      </c>
      <c r="AP34" t="s">
        <v>2293</v>
      </c>
      <c r="AQ34" t="s">
        <v>2294</v>
      </c>
      <c r="AR34" t="s">
        <v>2295</v>
      </c>
      <c r="AS34" t="s">
        <v>1408</v>
      </c>
      <c r="AT34" t="s">
        <v>1409</v>
      </c>
      <c r="AU34" t="s">
        <v>28</v>
      </c>
      <c r="AV34" t="s">
        <v>3320</v>
      </c>
      <c r="AW34" t="s">
        <v>3321</v>
      </c>
      <c r="AX34" t="s">
        <v>1942</v>
      </c>
      <c r="AY34">
        <v>222</v>
      </c>
      <c r="AZ34">
        <v>13</v>
      </c>
      <c r="BA34" t="s">
        <v>28</v>
      </c>
      <c r="BB34" t="s">
        <v>28</v>
      </c>
      <c r="BC34" t="s">
        <v>28</v>
      </c>
      <c r="BD34" t="s">
        <v>28</v>
      </c>
      <c r="BE34">
        <v>2059</v>
      </c>
      <c r="BF34">
        <v>2072</v>
      </c>
      <c r="BG34" t="s">
        <v>28</v>
      </c>
      <c r="BH34" t="s">
        <v>1943</v>
      </c>
      <c r="BI34" t="str">
        <f>HYPERLINK("http://dx.doi.org/10.1016/j.ecolmodel.2011.03.026","http://dx.doi.org/10.1016/j.ecolmodel.2011.03.026")</f>
        <v>http://dx.doi.org/10.1016/j.ecolmodel.2011.03.026</v>
      </c>
      <c r="BJ34" t="s">
        <v>28</v>
      </c>
      <c r="BK34" t="s">
        <v>28</v>
      </c>
      <c r="BL34">
        <v>14</v>
      </c>
      <c r="BM34" t="s">
        <v>3323</v>
      </c>
      <c r="BN34" t="s">
        <v>2314</v>
      </c>
      <c r="BO34" t="s">
        <v>2436</v>
      </c>
      <c r="BP34" t="s">
        <v>3944</v>
      </c>
      <c r="BQ34" t="s">
        <v>28</v>
      </c>
      <c r="BR34" t="s">
        <v>2317</v>
      </c>
      <c r="BS34" t="s">
        <v>28</v>
      </c>
      <c r="BT34" t="s">
        <v>28</v>
      </c>
      <c r="BU34" t="s">
        <v>2261</v>
      </c>
      <c r="BV34" t="s">
        <v>1944</v>
      </c>
      <c r="BW34" t="str">
        <f>HYPERLINK("https%3A%2F%2Fwww.webofscience.com%2Fwos%2Fwoscc%2Ffull-record%2FWOS:000292581400004","View Full Record in Web of Science")</f>
        <v>View Full Record in Web of Science</v>
      </c>
    </row>
    <row r="35" spans="1:75" ht="15" customHeight="1" x14ac:dyDescent="0.35">
      <c r="A35">
        <f>COUNTIF(Scopus!$E$2:$E$128,"="&amp;Tabelle6[[#This Row],[Article Title]])</f>
        <v>0</v>
      </c>
      <c r="B35">
        <v>3</v>
      </c>
      <c r="C35" s="1" t="s">
        <v>2149</v>
      </c>
      <c r="D35" t="s">
        <v>1321</v>
      </c>
      <c r="E35" t="s">
        <v>3743</v>
      </c>
      <c r="F35">
        <v>2017</v>
      </c>
      <c r="G35" s="5" t="s">
        <v>3745</v>
      </c>
      <c r="H35" t="s">
        <v>28</v>
      </c>
      <c r="I35" t="s">
        <v>28</v>
      </c>
      <c r="J35" t="s">
        <v>28</v>
      </c>
      <c r="K35" t="s">
        <v>3744</v>
      </c>
      <c r="L35" t="s">
        <v>28</v>
      </c>
      <c r="M35" t="s">
        <v>28</v>
      </c>
      <c r="N35" t="s">
        <v>3027</v>
      </c>
      <c r="O35" t="s">
        <v>28</v>
      </c>
      <c r="P35" t="s">
        <v>28</v>
      </c>
      <c r="Q35" t="s">
        <v>2242</v>
      </c>
      <c r="R35" t="s">
        <v>34</v>
      </c>
      <c r="S35" t="s">
        <v>28</v>
      </c>
      <c r="T35" t="s">
        <v>28</v>
      </c>
      <c r="U35" t="s">
        <v>28</v>
      </c>
      <c r="V35" t="s">
        <v>28</v>
      </c>
      <c r="W35" t="s">
        <v>28</v>
      </c>
      <c r="X35" t="s">
        <v>3746</v>
      </c>
      <c r="Y35" t="s">
        <v>3747</v>
      </c>
      <c r="Z35" t="s">
        <v>3748</v>
      </c>
      <c r="AA35" t="s">
        <v>3749</v>
      </c>
      <c r="AB35" t="s">
        <v>28</v>
      </c>
      <c r="AC35" t="s">
        <v>3750</v>
      </c>
      <c r="AD35" t="s">
        <v>3751</v>
      </c>
      <c r="AE35" t="s">
        <v>3752</v>
      </c>
      <c r="AF35" t="s">
        <v>3753</v>
      </c>
      <c r="AG35" t="s">
        <v>3754</v>
      </c>
      <c r="AH35" t="s">
        <v>3755</v>
      </c>
      <c r="AI35" t="s">
        <v>3756</v>
      </c>
      <c r="AJ35" t="s">
        <v>28</v>
      </c>
      <c r="AK35">
        <v>54</v>
      </c>
      <c r="AL35">
        <v>29</v>
      </c>
      <c r="AM35">
        <v>29</v>
      </c>
      <c r="AN35">
        <v>4</v>
      </c>
      <c r="AO35">
        <v>30</v>
      </c>
      <c r="AP35" t="s">
        <v>3035</v>
      </c>
      <c r="AQ35" t="s">
        <v>3036</v>
      </c>
      <c r="AR35" t="s">
        <v>3037</v>
      </c>
      <c r="AS35" t="s">
        <v>3038</v>
      </c>
      <c r="AT35" t="s">
        <v>28</v>
      </c>
      <c r="AU35" t="s">
        <v>28</v>
      </c>
      <c r="AV35" t="s">
        <v>3039</v>
      </c>
      <c r="AW35" t="s">
        <v>472</v>
      </c>
      <c r="AX35" t="s">
        <v>3757</v>
      </c>
      <c r="AY35">
        <v>20</v>
      </c>
      <c r="AZ35">
        <v>1</v>
      </c>
      <c r="BA35" t="s">
        <v>28</v>
      </c>
      <c r="BB35" t="s">
        <v>28</v>
      </c>
      <c r="BC35" t="s">
        <v>28</v>
      </c>
      <c r="BD35" t="s">
        <v>28</v>
      </c>
      <c r="BE35" t="s">
        <v>28</v>
      </c>
      <c r="BF35" t="s">
        <v>28</v>
      </c>
      <c r="BG35">
        <v>6</v>
      </c>
      <c r="BH35" t="s">
        <v>3758</v>
      </c>
      <c r="BI35" t="str">
        <f>HYPERLINK("http://dx.doi.org/10.18564/jasss.3135","http://dx.doi.org/10.18564/jasss.3135")</f>
        <v>http://dx.doi.org/10.18564/jasss.3135</v>
      </c>
      <c r="BJ35" t="s">
        <v>28</v>
      </c>
      <c r="BK35" t="s">
        <v>28</v>
      </c>
      <c r="BL35">
        <v>26</v>
      </c>
      <c r="BM35" t="s">
        <v>3019</v>
      </c>
      <c r="BN35" t="s">
        <v>2465</v>
      </c>
      <c r="BO35" t="s">
        <v>3020</v>
      </c>
      <c r="BP35" t="s">
        <v>3759</v>
      </c>
      <c r="BQ35" t="s">
        <v>28</v>
      </c>
      <c r="BR35" t="s">
        <v>3760</v>
      </c>
      <c r="BS35" t="s">
        <v>28</v>
      </c>
      <c r="BT35" t="s">
        <v>28</v>
      </c>
      <c r="BU35" t="s">
        <v>2261</v>
      </c>
      <c r="BV35" t="s">
        <v>3761</v>
      </c>
      <c r="BW35" t="str">
        <f>HYPERLINK("https%3A%2F%2Fwww.webofscience.com%2Fwos%2Fwoscc%2Ffull-record%2FWOS:000397168100006","View Full Record in Web of Science")</f>
        <v>View Full Record in Web of Science</v>
      </c>
    </row>
    <row r="36" spans="1:75" x14ac:dyDescent="0.35">
      <c r="A36">
        <f>COUNTIF(Scopus!$E$2:$E$128,"="&amp;Tabelle6[[#This Row],[Article Title]])</f>
        <v>0</v>
      </c>
      <c r="B36">
        <v>1</v>
      </c>
      <c r="C36" s="1" t="s">
        <v>2148</v>
      </c>
      <c r="D36" t="s">
        <v>2108</v>
      </c>
      <c r="E36" t="s">
        <v>2109</v>
      </c>
      <c r="F36">
        <v>2005</v>
      </c>
      <c r="G36" t="s">
        <v>2111</v>
      </c>
      <c r="H36" t="s">
        <v>28</v>
      </c>
      <c r="I36" t="s">
        <v>2110</v>
      </c>
      <c r="J36" t="s">
        <v>28</v>
      </c>
      <c r="K36" t="s">
        <v>2109</v>
      </c>
      <c r="L36" t="s">
        <v>28</v>
      </c>
      <c r="M36" t="s">
        <v>28</v>
      </c>
      <c r="N36" t="s">
        <v>2112</v>
      </c>
      <c r="O36" t="s">
        <v>2012</v>
      </c>
      <c r="P36" t="s">
        <v>28</v>
      </c>
      <c r="Q36" t="s">
        <v>2242</v>
      </c>
      <c r="R36" t="s">
        <v>2469</v>
      </c>
      <c r="S36" t="s">
        <v>2113</v>
      </c>
      <c r="T36" t="s">
        <v>2114</v>
      </c>
      <c r="U36" t="s">
        <v>2115</v>
      </c>
      <c r="V36" t="s">
        <v>28</v>
      </c>
      <c r="W36" t="s">
        <v>28</v>
      </c>
      <c r="X36" t="s">
        <v>28</v>
      </c>
      <c r="Y36" t="s">
        <v>28</v>
      </c>
      <c r="Z36" t="s">
        <v>2470</v>
      </c>
      <c r="AA36" t="s">
        <v>2471</v>
      </c>
      <c r="AB36" t="s">
        <v>28</v>
      </c>
      <c r="AC36" t="s">
        <v>2472</v>
      </c>
      <c r="AD36" t="s">
        <v>28</v>
      </c>
      <c r="AE36" t="s">
        <v>2116</v>
      </c>
      <c r="AF36" t="s">
        <v>2117</v>
      </c>
      <c r="AG36" t="s">
        <v>28</v>
      </c>
      <c r="AH36" t="s">
        <v>28</v>
      </c>
      <c r="AI36" t="s">
        <v>28</v>
      </c>
      <c r="AJ36" t="s">
        <v>28</v>
      </c>
      <c r="AK36">
        <v>24</v>
      </c>
      <c r="AL36">
        <v>128</v>
      </c>
      <c r="AM36">
        <v>132</v>
      </c>
      <c r="AN36">
        <v>0</v>
      </c>
      <c r="AO36">
        <v>12</v>
      </c>
      <c r="AP36" t="s">
        <v>2473</v>
      </c>
      <c r="AQ36" t="s">
        <v>2474</v>
      </c>
      <c r="AR36" t="s">
        <v>2475</v>
      </c>
      <c r="AS36" t="s">
        <v>2017</v>
      </c>
      <c r="AT36" t="s">
        <v>2018</v>
      </c>
      <c r="AU36" t="s">
        <v>2118</v>
      </c>
      <c r="AV36" t="s">
        <v>2476</v>
      </c>
      <c r="AW36" t="s">
        <v>28</v>
      </c>
      <c r="AX36" t="s">
        <v>28</v>
      </c>
      <c r="AY36">
        <v>3415</v>
      </c>
      <c r="AZ36" t="s">
        <v>28</v>
      </c>
      <c r="BA36" t="s">
        <v>28</v>
      </c>
      <c r="BB36" t="s">
        <v>28</v>
      </c>
      <c r="BC36" t="s">
        <v>28</v>
      </c>
      <c r="BD36" t="s">
        <v>28</v>
      </c>
      <c r="BE36">
        <v>130</v>
      </c>
      <c r="BF36">
        <v>144</v>
      </c>
      <c r="BG36" t="s">
        <v>28</v>
      </c>
      <c r="BH36" t="s">
        <v>28</v>
      </c>
      <c r="BI36" t="s">
        <v>28</v>
      </c>
      <c r="BJ36" t="s">
        <v>28</v>
      </c>
      <c r="BK36" t="s">
        <v>28</v>
      </c>
      <c r="BL36">
        <v>15</v>
      </c>
      <c r="BM36" t="s">
        <v>2477</v>
      </c>
      <c r="BN36" t="s">
        <v>2478</v>
      </c>
      <c r="BO36" t="s">
        <v>2315</v>
      </c>
      <c r="BP36" t="s">
        <v>2479</v>
      </c>
      <c r="BQ36" t="s">
        <v>28</v>
      </c>
      <c r="BR36" t="s">
        <v>28</v>
      </c>
      <c r="BS36" t="s">
        <v>28</v>
      </c>
      <c r="BT36" t="s">
        <v>28</v>
      </c>
      <c r="BU36" t="s">
        <v>2261</v>
      </c>
      <c r="BV36" t="s">
        <v>2119</v>
      </c>
      <c r="BW36" t="str">
        <f>HYPERLINK("https%3A%2F%2Fwww.webofscience.com%2Fwos%2Fwoscc%2Ffull-record%2FWOS:000229000500011","View Full Record in Web of Science")</f>
        <v>View Full Record in Web of Science</v>
      </c>
    </row>
    <row r="37" spans="1:75" ht="19" customHeight="1" x14ac:dyDescent="0.35">
      <c r="A37">
        <f>COUNTIF(Scopus!$E$2:$E$128,"="&amp;Tabelle6[[#This Row],[Article Title]])</f>
        <v>1</v>
      </c>
      <c r="B37">
        <v>1</v>
      </c>
      <c r="C37" s="1" t="s">
        <v>2148</v>
      </c>
      <c r="D37" t="s">
        <v>1417</v>
      </c>
      <c r="E37" t="s">
        <v>1713</v>
      </c>
      <c r="F37">
        <v>2017</v>
      </c>
      <c r="G37" t="s">
        <v>1715</v>
      </c>
      <c r="H37" t="s">
        <v>28</v>
      </c>
      <c r="I37" t="s">
        <v>28</v>
      </c>
      <c r="J37" t="s">
        <v>1419</v>
      </c>
      <c r="K37" t="s">
        <v>1714</v>
      </c>
      <c r="L37" t="s">
        <v>28</v>
      </c>
      <c r="M37" t="s">
        <v>28</v>
      </c>
      <c r="N37" t="s">
        <v>1716</v>
      </c>
      <c r="O37" t="s">
        <v>1717</v>
      </c>
      <c r="P37" t="s">
        <v>28</v>
      </c>
      <c r="Q37" t="s">
        <v>2242</v>
      </c>
      <c r="R37" t="s">
        <v>2345</v>
      </c>
      <c r="S37" t="s">
        <v>1718</v>
      </c>
      <c r="T37" t="s">
        <v>1719</v>
      </c>
      <c r="U37" t="s">
        <v>1720</v>
      </c>
      <c r="V37" t="s">
        <v>1419</v>
      </c>
      <c r="W37" t="s">
        <v>28</v>
      </c>
      <c r="X37" t="s">
        <v>3227</v>
      </c>
      <c r="Y37" t="s">
        <v>3228</v>
      </c>
      <c r="Z37" t="s">
        <v>3229</v>
      </c>
      <c r="AA37" t="s">
        <v>3230</v>
      </c>
      <c r="AB37" t="s">
        <v>28</v>
      </c>
      <c r="AC37" t="s">
        <v>3231</v>
      </c>
      <c r="AD37" t="s">
        <v>28</v>
      </c>
      <c r="AE37" t="s">
        <v>1721</v>
      </c>
      <c r="AF37" t="s">
        <v>1722</v>
      </c>
      <c r="AG37" t="s">
        <v>3232</v>
      </c>
      <c r="AH37" t="s">
        <v>3233</v>
      </c>
      <c r="AI37" t="s">
        <v>3234</v>
      </c>
      <c r="AJ37" t="s">
        <v>28</v>
      </c>
      <c r="AK37">
        <v>20</v>
      </c>
      <c r="AL37">
        <v>5</v>
      </c>
      <c r="AM37">
        <v>5</v>
      </c>
      <c r="AN37">
        <v>0</v>
      </c>
      <c r="AO37">
        <v>1</v>
      </c>
      <c r="AP37" t="s">
        <v>1419</v>
      </c>
      <c r="AQ37" t="s">
        <v>2354</v>
      </c>
      <c r="AR37" t="s">
        <v>2691</v>
      </c>
      <c r="AS37" t="s">
        <v>1723</v>
      </c>
      <c r="AT37" t="s">
        <v>28</v>
      </c>
      <c r="AU37" t="s">
        <v>1724</v>
      </c>
      <c r="AV37" t="s">
        <v>3235</v>
      </c>
      <c r="AW37" t="s">
        <v>28</v>
      </c>
      <c r="AX37" t="s">
        <v>28</v>
      </c>
      <c r="AY37" t="s">
        <v>28</v>
      </c>
      <c r="AZ37" t="s">
        <v>28</v>
      </c>
      <c r="BA37" t="s">
        <v>28</v>
      </c>
      <c r="BB37" t="s">
        <v>28</v>
      </c>
      <c r="BC37" t="s">
        <v>28</v>
      </c>
      <c r="BD37" t="s">
        <v>28</v>
      </c>
      <c r="BE37" t="s">
        <v>28</v>
      </c>
      <c r="BF37" t="s">
        <v>28</v>
      </c>
      <c r="BG37" t="s">
        <v>28</v>
      </c>
      <c r="BH37" t="s">
        <v>28</v>
      </c>
      <c r="BI37" t="s">
        <v>28</v>
      </c>
      <c r="BJ37" t="s">
        <v>28</v>
      </c>
      <c r="BK37" t="s">
        <v>28</v>
      </c>
      <c r="BL37">
        <v>7</v>
      </c>
      <c r="BM37" t="s">
        <v>3236</v>
      </c>
      <c r="BN37" t="s">
        <v>2357</v>
      </c>
      <c r="BO37" t="s">
        <v>3237</v>
      </c>
      <c r="BP37" t="s">
        <v>3238</v>
      </c>
      <c r="BQ37" t="s">
        <v>28</v>
      </c>
      <c r="BR37" t="s">
        <v>28</v>
      </c>
      <c r="BS37" t="s">
        <v>28</v>
      </c>
      <c r="BT37" t="s">
        <v>28</v>
      </c>
      <c r="BU37" t="s">
        <v>2261</v>
      </c>
      <c r="BV37" t="s">
        <v>1725</v>
      </c>
      <c r="BW37" t="str">
        <f>HYPERLINK("https%3A%2F%2Fwww.webofscience.com%2Fwos%2Fwoscc%2Ffull-record%2FWOS:000424696901067","View Full Record in Web of Science")</f>
        <v>View Full Record in Web of Science</v>
      </c>
    </row>
    <row r="38" spans="1:75" x14ac:dyDescent="0.35">
      <c r="A38">
        <f>COUNTIF(Scopus!$E$2:$E$128,"="&amp;Tabelle6[[#This Row],[Article Title]])</f>
        <v>1</v>
      </c>
      <c r="B38">
        <v>1</v>
      </c>
      <c r="C38" s="1" t="s">
        <v>2148</v>
      </c>
      <c r="D38" t="s">
        <v>1417</v>
      </c>
      <c r="E38" t="s">
        <v>1774</v>
      </c>
      <c r="F38">
        <v>2016</v>
      </c>
      <c r="G38" t="s">
        <v>691</v>
      </c>
      <c r="H38" t="s">
        <v>28</v>
      </c>
      <c r="I38" t="s">
        <v>1775</v>
      </c>
      <c r="J38" t="s">
        <v>28</v>
      </c>
      <c r="K38" t="s">
        <v>1776</v>
      </c>
      <c r="L38" t="s">
        <v>28</v>
      </c>
      <c r="M38" t="s">
        <v>28</v>
      </c>
      <c r="N38" t="s">
        <v>1777</v>
      </c>
      <c r="O38" t="s">
        <v>28</v>
      </c>
      <c r="P38" t="s">
        <v>28</v>
      </c>
      <c r="Q38" t="s">
        <v>2242</v>
      </c>
      <c r="R38" t="s">
        <v>2345</v>
      </c>
      <c r="S38" t="s">
        <v>1778</v>
      </c>
      <c r="T38" t="s">
        <v>1779</v>
      </c>
      <c r="U38" t="s">
        <v>1780</v>
      </c>
      <c r="V38" t="s">
        <v>1781</v>
      </c>
      <c r="W38" t="s">
        <v>1782</v>
      </c>
      <c r="X38" t="s">
        <v>28</v>
      </c>
      <c r="Y38" t="s">
        <v>28</v>
      </c>
      <c r="Z38" t="s">
        <v>3055</v>
      </c>
      <c r="AA38" t="s">
        <v>3056</v>
      </c>
      <c r="AB38" t="s">
        <v>28</v>
      </c>
      <c r="AC38" t="s">
        <v>3057</v>
      </c>
      <c r="AD38" t="s">
        <v>3058</v>
      </c>
      <c r="AE38" t="s">
        <v>1679</v>
      </c>
      <c r="AF38" t="s">
        <v>1680</v>
      </c>
      <c r="AG38" t="s">
        <v>28</v>
      </c>
      <c r="AH38" t="s">
        <v>28</v>
      </c>
      <c r="AI38" t="s">
        <v>28</v>
      </c>
      <c r="AJ38" t="s">
        <v>28</v>
      </c>
      <c r="AK38">
        <v>20</v>
      </c>
      <c r="AL38">
        <v>0</v>
      </c>
      <c r="AM38">
        <v>0</v>
      </c>
      <c r="AN38">
        <v>0</v>
      </c>
      <c r="AO38">
        <v>11</v>
      </c>
      <c r="AP38" t="s">
        <v>2353</v>
      </c>
      <c r="AQ38" t="s">
        <v>2354</v>
      </c>
      <c r="AR38" t="s">
        <v>2355</v>
      </c>
      <c r="AS38" t="s">
        <v>28</v>
      </c>
      <c r="AT38" t="s">
        <v>28</v>
      </c>
      <c r="AU38" t="s">
        <v>1783</v>
      </c>
      <c r="AV38" t="s">
        <v>28</v>
      </c>
      <c r="AW38" t="s">
        <v>28</v>
      </c>
      <c r="AX38" t="s">
        <v>28</v>
      </c>
      <c r="AY38" t="s">
        <v>28</v>
      </c>
      <c r="AZ38" t="s">
        <v>28</v>
      </c>
      <c r="BA38" t="s">
        <v>28</v>
      </c>
      <c r="BB38" t="s">
        <v>28</v>
      </c>
      <c r="BC38" t="s">
        <v>28</v>
      </c>
      <c r="BD38" t="s">
        <v>28</v>
      </c>
      <c r="BE38">
        <v>1507</v>
      </c>
      <c r="BF38">
        <v>1517</v>
      </c>
      <c r="BG38" t="s">
        <v>28</v>
      </c>
      <c r="BH38" t="s">
        <v>28</v>
      </c>
      <c r="BI38" t="s">
        <v>28</v>
      </c>
      <c r="BJ38" t="s">
        <v>28</v>
      </c>
      <c r="BK38" t="s">
        <v>28</v>
      </c>
      <c r="BL38">
        <v>11</v>
      </c>
      <c r="BM38" t="s">
        <v>3059</v>
      </c>
      <c r="BN38" t="s">
        <v>2357</v>
      </c>
      <c r="BO38" t="s">
        <v>3060</v>
      </c>
      <c r="BP38" t="s">
        <v>3061</v>
      </c>
      <c r="BQ38" t="s">
        <v>28</v>
      </c>
      <c r="BR38" t="s">
        <v>28</v>
      </c>
      <c r="BS38" t="s">
        <v>28</v>
      </c>
      <c r="BT38" t="s">
        <v>28</v>
      </c>
      <c r="BU38" t="s">
        <v>2261</v>
      </c>
      <c r="BV38" t="s">
        <v>1784</v>
      </c>
      <c r="BW38" t="str">
        <f>HYPERLINK("https%3A%2F%2Fwww.webofscience.com%2Fwos%2Fwoscc%2Ffull-record%2FWOS:000389279903001","View Full Record in Web of Science")</f>
        <v>View Full Record in Web of Science</v>
      </c>
    </row>
    <row r="39" spans="1:75" x14ac:dyDescent="0.35">
      <c r="A39">
        <f>COUNTIF(Scopus!$E$2:$E$128,"="&amp;Tabelle6[[#This Row],[Article Title]])</f>
        <v>1</v>
      </c>
      <c r="B39">
        <v>1</v>
      </c>
      <c r="C39" s="1" t="s">
        <v>2148</v>
      </c>
      <c r="D39" t="s">
        <v>1321</v>
      </c>
      <c r="E39" t="s">
        <v>1676</v>
      </c>
      <c r="F39">
        <v>2017</v>
      </c>
      <c r="G39" t="s">
        <v>1678</v>
      </c>
      <c r="H39" t="s">
        <v>28</v>
      </c>
      <c r="I39" t="s">
        <v>28</v>
      </c>
      <c r="J39" t="s">
        <v>28</v>
      </c>
      <c r="K39" t="s">
        <v>1677</v>
      </c>
      <c r="L39" t="s">
        <v>28</v>
      </c>
      <c r="M39" t="s">
        <v>28</v>
      </c>
      <c r="N39" t="s">
        <v>1344</v>
      </c>
      <c r="O39" t="s">
        <v>28</v>
      </c>
      <c r="P39" t="s">
        <v>28</v>
      </c>
      <c r="Q39" t="s">
        <v>2242</v>
      </c>
      <c r="R39" t="s">
        <v>34</v>
      </c>
      <c r="S39" t="s">
        <v>28</v>
      </c>
      <c r="T39" t="s">
        <v>28</v>
      </c>
      <c r="U39" t="s">
        <v>28</v>
      </c>
      <c r="V39" t="s">
        <v>28</v>
      </c>
      <c r="W39" t="s">
        <v>28</v>
      </c>
      <c r="X39" t="s">
        <v>28</v>
      </c>
      <c r="Y39" t="s">
        <v>3077</v>
      </c>
      <c r="Z39" t="s">
        <v>3078</v>
      </c>
      <c r="AA39" t="s">
        <v>3079</v>
      </c>
      <c r="AB39" t="s">
        <v>28</v>
      </c>
      <c r="AC39" t="s">
        <v>3080</v>
      </c>
      <c r="AD39" t="s">
        <v>3081</v>
      </c>
      <c r="AE39" t="s">
        <v>1679</v>
      </c>
      <c r="AF39" t="s">
        <v>1680</v>
      </c>
      <c r="AG39" t="s">
        <v>28</v>
      </c>
      <c r="AH39" t="s">
        <v>28</v>
      </c>
      <c r="AI39" t="s">
        <v>28</v>
      </c>
      <c r="AJ39" t="s">
        <v>28</v>
      </c>
      <c r="AK39">
        <v>89</v>
      </c>
      <c r="AL39">
        <v>16</v>
      </c>
      <c r="AM39">
        <v>16</v>
      </c>
      <c r="AN39">
        <v>1</v>
      </c>
      <c r="AO39">
        <v>34</v>
      </c>
      <c r="AP39" t="s">
        <v>2860</v>
      </c>
      <c r="AQ39" t="s">
        <v>2861</v>
      </c>
      <c r="AR39" t="s">
        <v>2862</v>
      </c>
      <c r="AS39" t="s">
        <v>1346</v>
      </c>
      <c r="AT39" t="s">
        <v>1347</v>
      </c>
      <c r="AU39" t="s">
        <v>28</v>
      </c>
      <c r="AV39" t="s">
        <v>2898</v>
      </c>
      <c r="AW39" t="s">
        <v>2899</v>
      </c>
      <c r="AX39" t="s">
        <v>1552</v>
      </c>
      <c r="AY39">
        <v>143</v>
      </c>
      <c r="AZ39">
        <v>8</v>
      </c>
      <c r="BA39" t="s">
        <v>28</v>
      </c>
      <c r="BB39" t="s">
        <v>28</v>
      </c>
      <c r="BC39" t="s">
        <v>28</v>
      </c>
      <c r="BD39" t="s">
        <v>28</v>
      </c>
      <c r="BE39" t="s">
        <v>28</v>
      </c>
      <c r="BF39" t="s">
        <v>28</v>
      </c>
      <c r="BG39">
        <v>4017043</v>
      </c>
      <c r="BH39" t="s">
        <v>553</v>
      </c>
      <c r="BI39" t="str">
        <f>HYPERLINK("http://dx.doi.org/10.1061/(ASCE)WR.1943-5452.0000794","http://dx.doi.org/10.1061/(ASCE)WR.1943-5452.0000794")</f>
        <v>http://dx.doi.org/10.1061/(ASCE)WR.1943-5452.0000794</v>
      </c>
      <c r="BJ39" t="s">
        <v>28</v>
      </c>
      <c r="BK39" t="s">
        <v>28</v>
      </c>
      <c r="BL39">
        <v>17</v>
      </c>
      <c r="BM39" t="s">
        <v>2332</v>
      </c>
      <c r="BN39" t="s">
        <v>2258</v>
      </c>
      <c r="BO39" t="s">
        <v>2333</v>
      </c>
      <c r="BP39" t="s">
        <v>3082</v>
      </c>
      <c r="BQ39" t="s">
        <v>28</v>
      </c>
      <c r="BR39" t="s">
        <v>28</v>
      </c>
      <c r="BS39" t="s">
        <v>28</v>
      </c>
      <c r="BT39" t="s">
        <v>28</v>
      </c>
      <c r="BU39" t="s">
        <v>2261</v>
      </c>
      <c r="BV39" t="s">
        <v>1681</v>
      </c>
      <c r="BW39" t="str">
        <f>HYPERLINK("https%3A%2F%2Fwww.webofscience.com%2Fwos%2Fwoscc%2Ffull-record%2FWOS:000408561900019","View Full Record in Web of Science")</f>
        <v>View Full Record in Web of Science</v>
      </c>
    </row>
    <row r="40" spans="1:75" x14ac:dyDescent="0.35">
      <c r="A40">
        <f>COUNTIF(Scopus!$E$2:$E$128,"="&amp;Tabelle6[[#This Row],[Article Title]])</f>
        <v>1</v>
      </c>
      <c r="B40">
        <v>1</v>
      </c>
      <c r="C40" s="1" t="s">
        <v>2148</v>
      </c>
      <c r="D40" t="s">
        <v>1417</v>
      </c>
      <c r="E40" t="s">
        <v>2037</v>
      </c>
      <c r="F40">
        <v>2008</v>
      </c>
      <c r="G40" t="s">
        <v>2040</v>
      </c>
      <c r="H40" t="s">
        <v>28</v>
      </c>
      <c r="I40" t="s">
        <v>2038</v>
      </c>
      <c r="J40" t="s">
        <v>28</v>
      </c>
      <c r="K40" t="s">
        <v>2039</v>
      </c>
      <c r="L40" t="s">
        <v>28</v>
      </c>
      <c r="M40" t="s">
        <v>28</v>
      </c>
      <c r="N40" t="s">
        <v>2041</v>
      </c>
      <c r="O40" t="s">
        <v>2042</v>
      </c>
      <c r="P40" t="s">
        <v>28</v>
      </c>
      <c r="Q40" t="s">
        <v>2242</v>
      </c>
      <c r="R40" t="s">
        <v>2345</v>
      </c>
      <c r="S40" t="s">
        <v>2043</v>
      </c>
      <c r="T40" t="s">
        <v>2044</v>
      </c>
      <c r="U40" t="s">
        <v>2045</v>
      </c>
      <c r="V40" t="s">
        <v>28</v>
      </c>
      <c r="W40" t="s">
        <v>2046</v>
      </c>
      <c r="X40" t="s">
        <v>2600</v>
      </c>
      <c r="Y40" t="s">
        <v>2601</v>
      </c>
      <c r="Z40" t="s">
        <v>2602</v>
      </c>
      <c r="AA40" t="s">
        <v>2603</v>
      </c>
      <c r="AB40" t="s">
        <v>28</v>
      </c>
      <c r="AC40" t="s">
        <v>2604</v>
      </c>
      <c r="AD40" t="s">
        <v>2605</v>
      </c>
      <c r="AE40" t="s">
        <v>2047</v>
      </c>
      <c r="AF40" t="s">
        <v>2002</v>
      </c>
      <c r="AG40" t="s">
        <v>2606</v>
      </c>
      <c r="AH40" t="s">
        <v>2607</v>
      </c>
      <c r="AI40" t="s">
        <v>2608</v>
      </c>
      <c r="AJ40" t="s">
        <v>28</v>
      </c>
      <c r="AK40">
        <v>21</v>
      </c>
      <c r="AL40">
        <v>9</v>
      </c>
      <c r="AM40">
        <v>9</v>
      </c>
      <c r="AN40">
        <v>2</v>
      </c>
      <c r="AO40">
        <v>13</v>
      </c>
      <c r="AP40" t="s">
        <v>2473</v>
      </c>
      <c r="AQ40" t="s">
        <v>2474</v>
      </c>
      <c r="AR40" t="s">
        <v>2475</v>
      </c>
      <c r="AS40" t="s">
        <v>2017</v>
      </c>
      <c r="AT40" t="s">
        <v>28</v>
      </c>
      <c r="AU40" t="s">
        <v>2048</v>
      </c>
      <c r="AV40" t="s">
        <v>2609</v>
      </c>
      <c r="AW40" t="s">
        <v>28</v>
      </c>
      <c r="AX40" t="s">
        <v>28</v>
      </c>
      <c r="AY40">
        <v>5271</v>
      </c>
      <c r="AZ40" t="s">
        <v>28</v>
      </c>
      <c r="BA40" t="s">
        <v>28</v>
      </c>
      <c r="BB40" t="s">
        <v>28</v>
      </c>
      <c r="BC40" t="s">
        <v>28</v>
      </c>
      <c r="BD40" t="s">
        <v>28</v>
      </c>
      <c r="BE40">
        <v>567</v>
      </c>
      <c r="BF40" t="s">
        <v>2049</v>
      </c>
      <c r="BG40" t="s">
        <v>28</v>
      </c>
      <c r="BH40" t="s">
        <v>28</v>
      </c>
      <c r="BI40" t="s">
        <v>28</v>
      </c>
      <c r="BJ40" t="s">
        <v>28</v>
      </c>
      <c r="BK40" t="s">
        <v>28</v>
      </c>
      <c r="BL40">
        <v>3</v>
      </c>
      <c r="BM40" t="s">
        <v>2610</v>
      </c>
      <c r="BN40" t="s">
        <v>2357</v>
      </c>
      <c r="BO40" t="s">
        <v>2315</v>
      </c>
      <c r="BP40" t="s">
        <v>2611</v>
      </c>
      <c r="BQ40" t="s">
        <v>28</v>
      </c>
      <c r="BR40" t="s">
        <v>28</v>
      </c>
      <c r="BS40" t="s">
        <v>28</v>
      </c>
      <c r="BT40" t="s">
        <v>28</v>
      </c>
      <c r="BU40" t="s">
        <v>2261</v>
      </c>
      <c r="BV40" t="s">
        <v>2050</v>
      </c>
      <c r="BW40" t="str">
        <f>HYPERLINK("https%3A%2F%2Fwww.webofscience.com%2Fwos%2Fwoscc%2Ffull-record%2FWOS:000259875000068","View Full Record in Web of Science")</f>
        <v>View Full Record in Web of Science</v>
      </c>
    </row>
    <row r="41" spans="1:75" x14ac:dyDescent="0.35">
      <c r="A41">
        <f>COUNTIF(Scopus!$E$2:$E$128,"="&amp;Tabelle6[[#This Row],[Article Title]])</f>
        <v>1</v>
      </c>
      <c r="B41">
        <v>1</v>
      </c>
      <c r="C41" s="1" t="s">
        <v>2148</v>
      </c>
      <c r="D41" t="s">
        <v>1321</v>
      </c>
      <c r="E41" t="s">
        <v>1998</v>
      </c>
      <c r="F41">
        <v>2009</v>
      </c>
      <c r="G41" t="s">
        <v>1082</v>
      </c>
      <c r="H41" t="s">
        <v>28</v>
      </c>
      <c r="I41" t="s">
        <v>28</v>
      </c>
      <c r="J41" t="s">
        <v>28</v>
      </c>
      <c r="K41" t="s">
        <v>1999</v>
      </c>
      <c r="L41" t="s">
        <v>28</v>
      </c>
      <c r="M41" t="s">
        <v>28</v>
      </c>
      <c r="N41" t="s">
        <v>2000</v>
      </c>
      <c r="O41" t="s">
        <v>28</v>
      </c>
      <c r="P41" t="s">
        <v>28</v>
      </c>
      <c r="Q41" t="s">
        <v>2242</v>
      </c>
      <c r="R41" t="s">
        <v>34</v>
      </c>
      <c r="S41" t="s">
        <v>28</v>
      </c>
      <c r="T41" t="s">
        <v>28</v>
      </c>
      <c r="U41" t="s">
        <v>28</v>
      </c>
      <c r="V41" t="s">
        <v>28</v>
      </c>
      <c r="W41" t="s">
        <v>28</v>
      </c>
      <c r="X41" t="s">
        <v>28</v>
      </c>
      <c r="Y41" t="s">
        <v>2480</v>
      </c>
      <c r="Z41" t="s">
        <v>2481</v>
      </c>
      <c r="AA41" t="s">
        <v>2482</v>
      </c>
      <c r="AB41" t="s">
        <v>28</v>
      </c>
      <c r="AC41" t="s">
        <v>2483</v>
      </c>
      <c r="AD41" t="s">
        <v>2484</v>
      </c>
      <c r="AE41" t="s">
        <v>2001</v>
      </c>
      <c r="AF41" t="s">
        <v>2002</v>
      </c>
      <c r="AG41" t="s">
        <v>28</v>
      </c>
      <c r="AH41" t="s">
        <v>28</v>
      </c>
      <c r="AI41" t="s">
        <v>28</v>
      </c>
      <c r="AJ41" t="s">
        <v>28</v>
      </c>
      <c r="AK41">
        <v>72</v>
      </c>
      <c r="AL41">
        <v>92</v>
      </c>
      <c r="AM41">
        <v>95</v>
      </c>
      <c r="AN41">
        <v>2</v>
      </c>
      <c r="AO41">
        <v>45</v>
      </c>
      <c r="AP41" t="s">
        <v>2383</v>
      </c>
      <c r="AQ41" t="s">
        <v>2384</v>
      </c>
      <c r="AR41" t="s">
        <v>2385</v>
      </c>
      <c r="AS41" t="s">
        <v>2003</v>
      </c>
      <c r="AT41" t="s">
        <v>2004</v>
      </c>
      <c r="AU41" t="s">
        <v>28</v>
      </c>
      <c r="AV41" t="s">
        <v>2485</v>
      </c>
      <c r="AW41" t="s">
        <v>2486</v>
      </c>
      <c r="AX41" t="s">
        <v>2005</v>
      </c>
      <c r="AY41">
        <v>45</v>
      </c>
      <c r="AZ41" t="s">
        <v>28</v>
      </c>
      <c r="BA41" t="s">
        <v>28</v>
      </c>
      <c r="BB41" t="s">
        <v>28</v>
      </c>
      <c r="BC41" t="s">
        <v>28</v>
      </c>
      <c r="BD41" t="s">
        <v>28</v>
      </c>
      <c r="BE41" t="s">
        <v>28</v>
      </c>
      <c r="BF41" t="s">
        <v>28</v>
      </c>
      <c r="BG41" t="s">
        <v>1085</v>
      </c>
      <c r="BH41" t="s">
        <v>1086</v>
      </c>
      <c r="BI41" t="str">
        <f>HYPERLINK("http://dx.doi.org/10.1029/2007WR006536","http://dx.doi.org/10.1029/2007WR006536")</f>
        <v>http://dx.doi.org/10.1029/2007WR006536</v>
      </c>
      <c r="BJ41" t="s">
        <v>28</v>
      </c>
      <c r="BK41" t="s">
        <v>28</v>
      </c>
      <c r="BL41">
        <v>17</v>
      </c>
      <c r="BM41" t="s">
        <v>2487</v>
      </c>
      <c r="BN41" t="s">
        <v>2258</v>
      </c>
      <c r="BO41" t="s">
        <v>2488</v>
      </c>
      <c r="BP41" t="s">
        <v>2489</v>
      </c>
      <c r="BQ41" t="s">
        <v>28</v>
      </c>
      <c r="BR41" t="s">
        <v>2490</v>
      </c>
      <c r="BS41" t="s">
        <v>28</v>
      </c>
      <c r="BT41" t="s">
        <v>28</v>
      </c>
      <c r="BU41" t="s">
        <v>2261</v>
      </c>
      <c r="BV41" t="s">
        <v>2006</v>
      </c>
      <c r="BW41" t="str">
        <f>HYPERLINK("https%3A%2F%2Fwww.webofscience.com%2Fwos%2Fwoscc%2Ffull-record%2FWOS:000265676700001","View Full Record in Web of Science")</f>
        <v>View Full Record in Web of Science</v>
      </c>
    </row>
    <row r="42" spans="1:75" x14ac:dyDescent="0.35">
      <c r="A42">
        <f>COUNTIF(Scopus!$E$2:$E$128,"="&amp;Tabelle6[[#This Row],[Article Title]])</f>
        <v>1</v>
      </c>
      <c r="B42">
        <v>1</v>
      </c>
      <c r="C42" s="1" t="s">
        <v>2148</v>
      </c>
      <c r="D42" t="s">
        <v>1321</v>
      </c>
      <c r="E42" t="s">
        <v>1802</v>
      </c>
      <c r="F42">
        <v>2015</v>
      </c>
      <c r="G42" t="s">
        <v>1804</v>
      </c>
      <c r="H42" t="s">
        <v>28</v>
      </c>
      <c r="I42" t="s">
        <v>28</v>
      </c>
      <c r="J42" t="s">
        <v>28</v>
      </c>
      <c r="K42" t="s">
        <v>1803</v>
      </c>
      <c r="L42" t="s">
        <v>28</v>
      </c>
      <c r="M42" t="s">
        <v>28</v>
      </c>
      <c r="N42" t="s">
        <v>1344</v>
      </c>
      <c r="O42" t="s">
        <v>28</v>
      </c>
      <c r="P42" t="s">
        <v>28</v>
      </c>
      <c r="Q42" t="s">
        <v>2242</v>
      </c>
      <c r="R42" t="s">
        <v>34</v>
      </c>
      <c r="S42" t="s">
        <v>28</v>
      </c>
      <c r="T42" t="s">
        <v>28</v>
      </c>
      <c r="U42" t="s">
        <v>28</v>
      </c>
      <c r="V42" t="s">
        <v>28</v>
      </c>
      <c r="W42" t="s">
        <v>28</v>
      </c>
      <c r="X42" t="s">
        <v>3414</v>
      </c>
      <c r="Y42" t="s">
        <v>3415</v>
      </c>
      <c r="Z42" t="s">
        <v>3416</v>
      </c>
      <c r="AA42" t="s">
        <v>3417</v>
      </c>
      <c r="AB42" t="s">
        <v>28</v>
      </c>
      <c r="AC42" t="s">
        <v>3418</v>
      </c>
      <c r="AD42" t="s">
        <v>3419</v>
      </c>
      <c r="AE42" t="s">
        <v>1805</v>
      </c>
      <c r="AF42" t="s">
        <v>1806</v>
      </c>
      <c r="AG42" t="s">
        <v>3420</v>
      </c>
      <c r="AH42" t="s">
        <v>3421</v>
      </c>
      <c r="AI42" t="s">
        <v>3422</v>
      </c>
      <c r="AJ42" t="s">
        <v>28</v>
      </c>
      <c r="AK42">
        <v>59</v>
      </c>
      <c r="AL42">
        <v>22</v>
      </c>
      <c r="AM42">
        <v>22</v>
      </c>
      <c r="AN42">
        <v>1</v>
      </c>
      <c r="AO42">
        <v>111</v>
      </c>
      <c r="AP42" t="s">
        <v>2860</v>
      </c>
      <c r="AQ42" t="s">
        <v>2861</v>
      </c>
      <c r="AR42" t="s">
        <v>2862</v>
      </c>
      <c r="AS42" t="s">
        <v>1346</v>
      </c>
      <c r="AT42" t="s">
        <v>1347</v>
      </c>
      <c r="AU42" t="s">
        <v>28</v>
      </c>
      <c r="AV42" t="s">
        <v>2898</v>
      </c>
      <c r="AW42" t="s">
        <v>2899</v>
      </c>
      <c r="AX42" t="s">
        <v>1437</v>
      </c>
      <c r="AY42">
        <v>141</v>
      </c>
      <c r="AZ42">
        <v>11</v>
      </c>
      <c r="BA42" t="s">
        <v>28</v>
      </c>
      <c r="BB42" t="s">
        <v>28</v>
      </c>
      <c r="BC42" t="s">
        <v>28</v>
      </c>
      <c r="BD42" t="s">
        <v>28</v>
      </c>
      <c r="BE42" t="s">
        <v>28</v>
      </c>
      <c r="BF42" t="s">
        <v>28</v>
      </c>
      <c r="BG42">
        <v>4015024</v>
      </c>
      <c r="BH42" t="s">
        <v>732</v>
      </c>
      <c r="BI42" t="str">
        <f>HYPERLINK("http://dx.doi.org/10.1061/(ASCE)WR.1943-5452.0000543","http://dx.doi.org/10.1061/(ASCE)WR.1943-5452.0000543")</f>
        <v>http://dx.doi.org/10.1061/(ASCE)WR.1943-5452.0000543</v>
      </c>
      <c r="BJ42" t="s">
        <v>28</v>
      </c>
      <c r="BK42" t="s">
        <v>28</v>
      </c>
      <c r="BL42">
        <v>12</v>
      </c>
      <c r="BM42" t="s">
        <v>2332</v>
      </c>
      <c r="BN42" t="s">
        <v>2314</v>
      </c>
      <c r="BO42" t="s">
        <v>2333</v>
      </c>
      <c r="BP42" t="s">
        <v>3423</v>
      </c>
      <c r="BQ42" t="s">
        <v>28</v>
      </c>
      <c r="BR42" t="s">
        <v>28</v>
      </c>
      <c r="BS42" t="s">
        <v>28</v>
      </c>
      <c r="BT42" t="s">
        <v>28</v>
      </c>
      <c r="BU42" t="s">
        <v>2261</v>
      </c>
      <c r="BV42" t="s">
        <v>1807</v>
      </c>
      <c r="BW42" t="str">
        <f>HYPERLINK("https%3A%2F%2Fwww.webofscience.com%2Fwos%2Fwoscc%2Ffull-record%2FWOS:000363089500005","View Full Record in Web of Science")</f>
        <v>View Full Record in Web of Science</v>
      </c>
    </row>
    <row r="43" spans="1:75" x14ac:dyDescent="0.35">
      <c r="A43">
        <f>COUNTIF(Scopus!$E$2:$E$128,"="&amp;Tabelle6[[#This Row],[Article Title]])</f>
        <v>1</v>
      </c>
      <c r="B43">
        <v>1</v>
      </c>
      <c r="C43" s="1" t="s">
        <v>2148</v>
      </c>
      <c r="D43" t="s">
        <v>1321</v>
      </c>
      <c r="E43" t="s">
        <v>1913</v>
      </c>
      <c r="F43">
        <v>2013</v>
      </c>
      <c r="G43" t="s">
        <v>1915</v>
      </c>
      <c r="H43" t="s">
        <v>28</v>
      </c>
      <c r="I43" t="s">
        <v>28</v>
      </c>
      <c r="J43" t="s">
        <v>28</v>
      </c>
      <c r="K43" t="s">
        <v>1914</v>
      </c>
      <c r="L43" t="s">
        <v>28</v>
      </c>
      <c r="M43" t="s">
        <v>28</v>
      </c>
      <c r="N43" t="s">
        <v>1344</v>
      </c>
      <c r="O43" t="s">
        <v>28</v>
      </c>
      <c r="P43" t="s">
        <v>28</v>
      </c>
      <c r="Q43" t="s">
        <v>2242</v>
      </c>
      <c r="R43" t="s">
        <v>34</v>
      </c>
      <c r="S43" t="s">
        <v>28</v>
      </c>
      <c r="T43" t="s">
        <v>28</v>
      </c>
      <c r="U43" t="s">
        <v>28</v>
      </c>
      <c r="V43" t="s">
        <v>28</v>
      </c>
      <c r="W43" t="s">
        <v>28</v>
      </c>
      <c r="X43" t="s">
        <v>3083</v>
      </c>
      <c r="Y43" t="s">
        <v>3084</v>
      </c>
      <c r="Z43" t="s">
        <v>3085</v>
      </c>
      <c r="AA43" t="s">
        <v>3086</v>
      </c>
      <c r="AB43" t="s">
        <v>28</v>
      </c>
      <c r="AC43" t="s">
        <v>3087</v>
      </c>
      <c r="AD43" t="s">
        <v>3088</v>
      </c>
      <c r="AE43" t="s">
        <v>1916</v>
      </c>
      <c r="AF43" t="s">
        <v>1917</v>
      </c>
      <c r="AG43" t="s">
        <v>3089</v>
      </c>
      <c r="AH43" t="s">
        <v>2291</v>
      </c>
      <c r="AI43" t="s">
        <v>3090</v>
      </c>
      <c r="AJ43" t="s">
        <v>28</v>
      </c>
      <c r="AK43">
        <v>56</v>
      </c>
      <c r="AL43">
        <v>47</v>
      </c>
      <c r="AM43">
        <v>51</v>
      </c>
      <c r="AN43">
        <v>3</v>
      </c>
      <c r="AO43">
        <v>81</v>
      </c>
      <c r="AP43" t="s">
        <v>2860</v>
      </c>
      <c r="AQ43" t="s">
        <v>2861</v>
      </c>
      <c r="AR43" t="s">
        <v>2862</v>
      </c>
      <c r="AS43" t="s">
        <v>1346</v>
      </c>
      <c r="AT43" t="s">
        <v>1347</v>
      </c>
      <c r="AU43" t="s">
        <v>28</v>
      </c>
      <c r="AV43" t="s">
        <v>3091</v>
      </c>
      <c r="AW43" t="s">
        <v>2899</v>
      </c>
      <c r="AX43" t="s">
        <v>1356</v>
      </c>
      <c r="AY43">
        <v>139</v>
      </c>
      <c r="AZ43">
        <v>5</v>
      </c>
      <c r="BA43" t="s">
        <v>28</v>
      </c>
      <c r="BB43" t="s">
        <v>28</v>
      </c>
      <c r="BC43" t="s">
        <v>1639</v>
      </c>
      <c r="BD43" t="s">
        <v>28</v>
      </c>
      <c r="BE43">
        <v>554</v>
      </c>
      <c r="BF43">
        <v>564</v>
      </c>
      <c r="BG43" t="s">
        <v>28</v>
      </c>
      <c r="BH43" t="s">
        <v>911</v>
      </c>
      <c r="BI43" t="str">
        <f>HYPERLINK("http://dx.doi.org/10.1061/(ASCE)WR.1943-5452.0000302","http://dx.doi.org/10.1061/(ASCE)WR.1943-5452.0000302")</f>
        <v>http://dx.doi.org/10.1061/(ASCE)WR.1943-5452.0000302</v>
      </c>
      <c r="BJ43" t="s">
        <v>28</v>
      </c>
      <c r="BK43" t="s">
        <v>28</v>
      </c>
      <c r="BL43">
        <v>11</v>
      </c>
      <c r="BM43" t="s">
        <v>2332</v>
      </c>
      <c r="BN43" t="s">
        <v>2258</v>
      </c>
      <c r="BO43" t="s">
        <v>2333</v>
      </c>
      <c r="BP43" t="s">
        <v>3092</v>
      </c>
      <c r="BQ43" t="s">
        <v>28</v>
      </c>
      <c r="BR43" t="s">
        <v>28</v>
      </c>
      <c r="BS43" t="s">
        <v>28</v>
      </c>
      <c r="BT43" t="s">
        <v>28</v>
      </c>
      <c r="BU43" t="s">
        <v>2261</v>
      </c>
      <c r="BV43" t="s">
        <v>1918</v>
      </c>
      <c r="BW43" t="str">
        <f>HYPERLINK("https%3A%2F%2Fwww.webofscience.com%2Fwos%2Fwoscc%2Ffull-record%2FWOS:000330518500011","View Full Record in Web of Science")</f>
        <v>View Full Record in Web of Science</v>
      </c>
    </row>
    <row r="44" spans="1:75" x14ac:dyDescent="0.35">
      <c r="A44">
        <f>COUNTIF(Scopus!$E$2:$E$128,"="&amp;Tabelle6[[#This Row],[Article Title]])</f>
        <v>0</v>
      </c>
      <c r="B44">
        <v>3</v>
      </c>
      <c r="C44" s="1" t="s">
        <v>2149</v>
      </c>
      <c r="D44" t="s">
        <v>1321</v>
      </c>
      <c r="E44" t="s">
        <v>1516</v>
      </c>
      <c r="F44">
        <v>2019</v>
      </c>
      <c r="G44" t="s">
        <v>1518</v>
      </c>
      <c r="H44" t="s">
        <v>28</v>
      </c>
      <c r="I44" t="s">
        <v>28</v>
      </c>
      <c r="J44" t="s">
        <v>28</v>
      </c>
      <c r="K44" t="s">
        <v>1517</v>
      </c>
      <c r="L44" t="s">
        <v>28</v>
      </c>
      <c r="M44" t="s">
        <v>28</v>
      </c>
      <c r="N44" t="s">
        <v>1519</v>
      </c>
      <c r="O44" t="s">
        <v>28</v>
      </c>
      <c r="P44" t="s">
        <v>28</v>
      </c>
      <c r="Q44" t="s">
        <v>2242</v>
      </c>
      <c r="R44" t="s">
        <v>34</v>
      </c>
      <c r="S44" t="s">
        <v>28</v>
      </c>
      <c r="T44" t="s">
        <v>28</v>
      </c>
      <c r="U44" t="s">
        <v>28</v>
      </c>
      <c r="V44" t="s">
        <v>28</v>
      </c>
      <c r="W44" t="s">
        <v>28</v>
      </c>
      <c r="X44" t="s">
        <v>3781</v>
      </c>
      <c r="Y44" t="s">
        <v>3782</v>
      </c>
      <c r="Z44" t="s">
        <v>3783</v>
      </c>
      <c r="AA44" t="s">
        <v>3784</v>
      </c>
      <c r="AB44" t="s">
        <v>28</v>
      </c>
      <c r="AC44" t="s">
        <v>3785</v>
      </c>
      <c r="AD44" t="s">
        <v>3786</v>
      </c>
      <c r="AE44" t="s">
        <v>28</v>
      </c>
      <c r="AF44" t="s">
        <v>28</v>
      </c>
      <c r="AG44" t="s">
        <v>3787</v>
      </c>
      <c r="AH44" t="s">
        <v>3787</v>
      </c>
      <c r="AI44" t="s">
        <v>3788</v>
      </c>
      <c r="AJ44" t="s">
        <v>28</v>
      </c>
      <c r="AK44">
        <v>115</v>
      </c>
      <c r="AL44">
        <v>19</v>
      </c>
      <c r="AM44">
        <v>20</v>
      </c>
      <c r="AN44">
        <v>4</v>
      </c>
      <c r="AO44">
        <v>44</v>
      </c>
      <c r="AP44" t="s">
        <v>2293</v>
      </c>
      <c r="AQ44" t="s">
        <v>2294</v>
      </c>
      <c r="AR44" t="s">
        <v>2295</v>
      </c>
      <c r="AS44" t="s">
        <v>1520</v>
      </c>
      <c r="AT44" t="s">
        <v>1521</v>
      </c>
      <c r="AU44" t="s">
        <v>28</v>
      </c>
      <c r="AV44" t="s">
        <v>2805</v>
      </c>
      <c r="AW44" t="s">
        <v>2806</v>
      </c>
      <c r="AX44" t="s">
        <v>1522</v>
      </c>
      <c r="AY44">
        <v>577</v>
      </c>
      <c r="AZ44" t="s">
        <v>28</v>
      </c>
      <c r="BA44" t="s">
        <v>28</v>
      </c>
      <c r="BB44" t="s">
        <v>28</v>
      </c>
      <c r="BC44" t="s">
        <v>28</v>
      </c>
      <c r="BD44" t="s">
        <v>28</v>
      </c>
      <c r="BE44" t="s">
        <v>28</v>
      </c>
      <c r="BF44" t="s">
        <v>28</v>
      </c>
      <c r="BG44">
        <v>123955</v>
      </c>
      <c r="BH44" t="s">
        <v>1523</v>
      </c>
      <c r="BI44" t="str">
        <f>HYPERLINK("http://dx.doi.org/10.1016/j.jhydrol.2019.123955","http://dx.doi.org/10.1016/j.jhydrol.2019.123955")</f>
        <v>http://dx.doi.org/10.1016/j.jhydrol.2019.123955</v>
      </c>
      <c r="BJ44" t="s">
        <v>28</v>
      </c>
      <c r="BK44" t="s">
        <v>28</v>
      </c>
      <c r="BL44">
        <v>19</v>
      </c>
      <c r="BM44" t="s">
        <v>2807</v>
      </c>
      <c r="BN44" t="s">
        <v>2258</v>
      </c>
      <c r="BO44" t="s">
        <v>2738</v>
      </c>
      <c r="BP44" t="s">
        <v>3789</v>
      </c>
      <c r="BQ44" t="s">
        <v>28</v>
      </c>
      <c r="BR44" t="s">
        <v>2490</v>
      </c>
      <c r="BS44" t="s">
        <v>28</v>
      </c>
      <c r="BT44" t="s">
        <v>28</v>
      </c>
      <c r="BU44" t="s">
        <v>2261</v>
      </c>
      <c r="BV44" t="s">
        <v>1524</v>
      </c>
      <c r="BW44" t="str">
        <f>HYPERLINK("https%3A%2F%2Fwww.webofscience.com%2Fwos%2Fwoscc%2Ffull-record%2FWOS:000488304300042","View Full Record in Web of Science")</f>
        <v>View Full Record in Web of Science</v>
      </c>
    </row>
    <row r="45" spans="1:75" x14ac:dyDescent="0.35">
      <c r="A45">
        <f>COUNTIF(Scopus!$E$2:$E$128,"="&amp;Tabelle6[[#This Row],[Article Title]])</f>
        <v>0</v>
      </c>
      <c r="B45">
        <v>3</v>
      </c>
      <c r="C45" s="1" t="s">
        <v>2149</v>
      </c>
      <c r="D45" t="s">
        <v>1417</v>
      </c>
      <c r="E45" t="s">
        <v>1487</v>
      </c>
      <c r="F45">
        <v>2020</v>
      </c>
      <c r="G45" t="s">
        <v>1489</v>
      </c>
      <c r="H45" t="s">
        <v>28</v>
      </c>
      <c r="I45" t="s">
        <v>28</v>
      </c>
      <c r="J45" t="s">
        <v>1419</v>
      </c>
      <c r="K45" t="s">
        <v>1488</v>
      </c>
      <c r="L45" t="s">
        <v>28</v>
      </c>
      <c r="M45" t="s">
        <v>28</v>
      </c>
      <c r="N45" t="s">
        <v>1490</v>
      </c>
      <c r="O45" t="s">
        <v>1491</v>
      </c>
      <c r="P45" t="s">
        <v>28</v>
      </c>
      <c r="Q45" t="s">
        <v>2242</v>
      </c>
      <c r="R45" t="s">
        <v>2345</v>
      </c>
      <c r="S45" t="s">
        <v>1492</v>
      </c>
      <c r="T45" t="s">
        <v>1493</v>
      </c>
      <c r="U45" t="s">
        <v>1494</v>
      </c>
      <c r="V45" t="s">
        <v>2741</v>
      </c>
      <c r="W45" t="s">
        <v>28</v>
      </c>
      <c r="X45" t="s">
        <v>2742</v>
      </c>
      <c r="Y45" t="s">
        <v>28</v>
      </c>
      <c r="Z45" t="s">
        <v>2743</v>
      </c>
      <c r="AA45" t="s">
        <v>2744</v>
      </c>
      <c r="AB45" t="s">
        <v>28</v>
      </c>
      <c r="AC45" t="s">
        <v>2745</v>
      </c>
      <c r="AD45" t="s">
        <v>2746</v>
      </c>
      <c r="AE45" t="s">
        <v>1495</v>
      </c>
      <c r="AF45" t="s">
        <v>1496</v>
      </c>
      <c r="AG45" t="s">
        <v>2747</v>
      </c>
      <c r="AH45" t="s">
        <v>2747</v>
      </c>
      <c r="AI45" t="s">
        <v>2748</v>
      </c>
      <c r="AJ45" t="s">
        <v>28</v>
      </c>
      <c r="AK45">
        <v>17</v>
      </c>
      <c r="AL45">
        <v>0</v>
      </c>
      <c r="AM45">
        <v>0</v>
      </c>
      <c r="AN45">
        <v>1</v>
      </c>
      <c r="AO45">
        <v>2</v>
      </c>
      <c r="AP45" t="s">
        <v>1419</v>
      </c>
      <c r="AQ45" t="s">
        <v>2354</v>
      </c>
      <c r="AR45" t="s">
        <v>2691</v>
      </c>
      <c r="AS45" t="s">
        <v>1497</v>
      </c>
      <c r="AT45" t="s">
        <v>28</v>
      </c>
      <c r="AU45" t="s">
        <v>1498</v>
      </c>
      <c r="AV45" t="s">
        <v>2749</v>
      </c>
      <c r="AW45" t="s">
        <v>28</v>
      </c>
      <c r="AX45" t="s">
        <v>28</v>
      </c>
      <c r="AY45" t="s">
        <v>28</v>
      </c>
      <c r="AZ45" t="s">
        <v>28</v>
      </c>
      <c r="BA45" t="s">
        <v>28</v>
      </c>
      <c r="BB45" t="s">
        <v>28</v>
      </c>
      <c r="BC45" t="s">
        <v>28</v>
      </c>
      <c r="BD45" t="s">
        <v>28</v>
      </c>
      <c r="BE45">
        <v>153</v>
      </c>
      <c r="BF45">
        <v>158</v>
      </c>
      <c r="BG45" t="s">
        <v>28</v>
      </c>
      <c r="BH45" t="s">
        <v>28</v>
      </c>
      <c r="BI45" t="s">
        <v>28</v>
      </c>
      <c r="BJ45" t="s">
        <v>28</v>
      </c>
      <c r="BK45" t="s">
        <v>28</v>
      </c>
      <c r="BL45">
        <v>6</v>
      </c>
      <c r="BM45" t="s">
        <v>2750</v>
      </c>
      <c r="BN45" t="s">
        <v>2357</v>
      </c>
      <c r="BO45" t="s">
        <v>2315</v>
      </c>
      <c r="BP45" t="s">
        <v>2751</v>
      </c>
      <c r="BQ45" t="s">
        <v>28</v>
      </c>
      <c r="BR45" t="s">
        <v>2467</v>
      </c>
      <c r="BS45" t="s">
        <v>28</v>
      </c>
      <c r="BT45" t="s">
        <v>28</v>
      </c>
      <c r="BU45" t="s">
        <v>2261</v>
      </c>
      <c r="BV45" t="s">
        <v>1499</v>
      </c>
      <c r="BW45" t="str">
        <f>HYPERLINK("https%3A%2F%2Fwww.webofscience.com%2Fwos%2Fwoscc%2Ffull-record%2FWOS:000687563100026","View Full Record in Web of Science")</f>
        <v>View Full Record in Web of Science</v>
      </c>
    </row>
    <row r="46" spans="1:75" x14ac:dyDescent="0.35">
      <c r="A46">
        <f>COUNTIF(Scopus!$E$2:$E$128,"="&amp;Tabelle6[[#This Row],[Article Title]])</f>
        <v>1</v>
      </c>
      <c r="B46">
        <v>1</v>
      </c>
      <c r="C46" s="1" t="s">
        <v>2148</v>
      </c>
      <c r="D46" t="s">
        <v>1321</v>
      </c>
      <c r="E46" t="s">
        <v>1336</v>
      </c>
      <c r="F46">
        <v>2021</v>
      </c>
      <c r="G46" t="s">
        <v>75</v>
      </c>
      <c r="H46" t="s">
        <v>28</v>
      </c>
      <c r="I46" t="s">
        <v>28</v>
      </c>
      <c r="J46" t="s">
        <v>28</v>
      </c>
      <c r="K46" t="s">
        <v>1337</v>
      </c>
      <c r="L46" t="s">
        <v>28</v>
      </c>
      <c r="M46" t="s">
        <v>28</v>
      </c>
      <c r="N46" t="s">
        <v>1338</v>
      </c>
      <c r="O46" t="s">
        <v>28</v>
      </c>
      <c r="P46" t="s">
        <v>28</v>
      </c>
      <c r="Q46" t="s">
        <v>2242</v>
      </c>
      <c r="R46" t="s">
        <v>34</v>
      </c>
      <c r="S46" t="s">
        <v>28</v>
      </c>
      <c r="T46" t="s">
        <v>28</v>
      </c>
      <c r="U46" t="s">
        <v>28</v>
      </c>
      <c r="V46" t="s">
        <v>28</v>
      </c>
      <c r="W46" t="s">
        <v>28</v>
      </c>
      <c r="X46" t="s">
        <v>28</v>
      </c>
      <c r="Y46" t="s">
        <v>3532</v>
      </c>
      <c r="Z46" t="s">
        <v>3533</v>
      </c>
      <c r="AA46" t="s">
        <v>3534</v>
      </c>
      <c r="AB46" t="s">
        <v>28</v>
      </c>
      <c r="AC46" t="s">
        <v>3535</v>
      </c>
      <c r="AD46" t="s">
        <v>3536</v>
      </c>
      <c r="AE46" t="s">
        <v>28</v>
      </c>
      <c r="AF46" t="s">
        <v>28</v>
      </c>
      <c r="AG46" t="s">
        <v>3537</v>
      </c>
      <c r="AH46" t="s">
        <v>3538</v>
      </c>
      <c r="AI46" t="s">
        <v>3539</v>
      </c>
      <c r="AJ46" t="s">
        <v>28</v>
      </c>
      <c r="AK46">
        <v>41</v>
      </c>
      <c r="AL46">
        <v>0</v>
      </c>
      <c r="AM46">
        <v>0</v>
      </c>
      <c r="AN46">
        <v>6</v>
      </c>
      <c r="AO46">
        <v>10</v>
      </c>
      <c r="AP46" t="s">
        <v>3540</v>
      </c>
      <c r="AQ46" t="s">
        <v>2474</v>
      </c>
      <c r="AR46" t="s">
        <v>3541</v>
      </c>
      <c r="AS46" t="s">
        <v>1339</v>
      </c>
      <c r="AT46" t="s">
        <v>28</v>
      </c>
      <c r="AU46" t="s">
        <v>28</v>
      </c>
      <c r="AV46" t="s">
        <v>3542</v>
      </c>
      <c r="AW46" t="s">
        <v>3543</v>
      </c>
      <c r="AX46" t="s">
        <v>1340</v>
      </c>
      <c r="AY46">
        <v>11</v>
      </c>
      <c r="AZ46">
        <v>1</v>
      </c>
      <c r="BA46" t="s">
        <v>28</v>
      </c>
      <c r="BB46" t="s">
        <v>28</v>
      </c>
      <c r="BC46" t="s">
        <v>28</v>
      </c>
      <c r="BD46" t="s">
        <v>28</v>
      </c>
      <c r="BE46" t="s">
        <v>28</v>
      </c>
      <c r="BF46" t="s">
        <v>28</v>
      </c>
      <c r="BG46">
        <v>20085</v>
      </c>
      <c r="BH46" t="s">
        <v>80</v>
      </c>
      <c r="BI46" t="str">
        <f>HYPERLINK("http://dx.doi.org/10.1038/s41598-021-99587-0","http://dx.doi.org/10.1038/s41598-021-99587-0")</f>
        <v>http://dx.doi.org/10.1038/s41598-021-99587-0</v>
      </c>
      <c r="BJ46" t="s">
        <v>28</v>
      </c>
      <c r="BK46" t="s">
        <v>28</v>
      </c>
      <c r="BL46">
        <v>15</v>
      </c>
      <c r="BM46" t="s">
        <v>3544</v>
      </c>
      <c r="BN46" t="s">
        <v>2314</v>
      </c>
      <c r="BO46" t="s">
        <v>3379</v>
      </c>
      <c r="BP46" t="s">
        <v>3545</v>
      </c>
      <c r="BQ46">
        <v>34635705</v>
      </c>
      <c r="BR46" t="s">
        <v>2390</v>
      </c>
      <c r="BS46" t="s">
        <v>28</v>
      </c>
      <c r="BT46" t="s">
        <v>28</v>
      </c>
      <c r="BU46" t="s">
        <v>2261</v>
      </c>
      <c r="BV46" t="s">
        <v>1341</v>
      </c>
      <c r="BW46" t="str">
        <f>HYPERLINK("https%3A%2F%2Fwww.webofscience.com%2Fwos%2Fwoscc%2Ffull-record%2FWOS:000706395800094","View Full Record in Web of Science")</f>
        <v>View Full Record in Web of Science</v>
      </c>
    </row>
    <row r="47" spans="1:75" x14ac:dyDescent="0.35">
      <c r="A47">
        <f>COUNTIF(Scopus!$E$2:$E$128,"="&amp;Tabelle6[[#This Row],[Article Title]])</f>
        <v>0</v>
      </c>
      <c r="B47">
        <v>3</v>
      </c>
      <c r="C47" s="1" t="s">
        <v>2149</v>
      </c>
      <c r="D47" t="s">
        <v>1417</v>
      </c>
      <c r="E47" t="s">
        <v>1974</v>
      </c>
      <c r="F47">
        <v>2010</v>
      </c>
      <c r="G47" t="s">
        <v>1977</v>
      </c>
      <c r="H47" t="s">
        <v>28</v>
      </c>
      <c r="I47" t="s">
        <v>1975</v>
      </c>
      <c r="J47" t="s">
        <v>28</v>
      </c>
      <c r="K47" t="s">
        <v>1976</v>
      </c>
      <c r="L47" t="s">
        <v>28</v>
      </c>
      <c r="M47" t="s">
        <v>28</v>
      </c>
      <c r="N47" t="s">
        <v>1978</v>
      </c>
      <c r="O47" t="s">
        <v>28</v>
      </c>
      <c r="P47" t="s">
        <v>28</v>
      </c>
      <c r="Q47" t="s">
        <v>2242</v>
      </c>
      <c r="R47" t="s">
        <v>2345</v>
      </c>
      <c r="S47" t="s">
        <v>1979</v>
      </c>
      <c r="T47" t="s">
        <v>1980</v>
      </c>
      <c r="U47" t="s">
        <v>1981</v>
      </c>
      <c r="V47" t="s">
        <v>1982</v>
      </c>
      <c r="W47" t="s">
        <v>28</v>
      </c>
      <c r="X47" t="s">
        <v>2439</v>
      </c>
      <c r="Y47" t="s">
        <v>2440</v>
      </c>
      <c r="Z47" t="s">
        <v>2441</v>
      </c>
      <c r="AA47" t="s">
        <v>2442</v>
      </c>
      <c r="AB47" t="s">
        <v>28</v>
      </c>
      <c r="AC47" t="s">
        <v>2443</v>
      </c>
      <c r="AD47" t="s">
        <v>2444</v>
      </c>
      <c r="AE47" t="s">
        <v>28</v>
      </c>
      <c r="AF47" t="s">
        <v>28</v>
      </c>
      <c r="AG47" t="s">
        <v>28</v>
      </c>
      <c r="AH47" t="s">
        <v>28</v>
      </c>
      <c r="AI47" t="s">
        <v>28</v>
      </c>
      <c r="AJ47" t="s">
        <v>28</v>
      </c>
      <c r="AK47">
        <v>34</v>
      </c>
      <c r="AL47">
        <v>0</v>
      </c>
      <c r="AM47">
        <v>0</v>
      </c>
      <c r="AN47">
        <v>0</v>
      </c>
      <c r="AO47">
        <v>2</v>
      </c>
      <c r="AP47" t="s">
        <v>2445</v>
      </c>
      <c r="AQ47" t="s">
        <v>2354</v>
      </c>
      <c r="AR47" t="s">
        <v>2446</v>
      </c>
      <c r="AS47" t="s">
        <v>28</v>
      </c>
      <c r="AT47" t="s">
        <v>28</v>
      </c>
      <c r="AU47" t="s">
        <v>1983</v>
      </c>
      <c r="AV47" t="s">
        <v>28</v>
      </c>
      <c r="AW47" t="s">
        <v>28</v>
      </c>
      <c r="AX47" t="s">
        <v>28</v>
      </c>
      <c r="AY47" t="s">
        <v>28</v>
      </c>
      <c r="AZ47" t="s">
        <v>28</v>
      </c>
      <c r="BA47" t="s">
        <v>28</v>
      </c>
      <c r="BB47" t="s">
        <v>28</v>
      </c>
      <c r="BC47" t="s">
        <v>28</v>
      </c>
      <c r="BD47" t="s">
        <v>28</v>
      </c>
      <c r="BE47">
        <v>1777</v>
      </c>
      <c r="BF47">
        <v>1784</v>
      </c>
      <c r="BG47" t="s">
        <v>28</v>
      </c>
      <c r="BH47" t="s">
        <v>28</v>
      </c>
      <c r="BI47" t="s">
        <v>28</v>
      </c>
      <c r="BJ47" t="s">
        <v>28</v>
      </c>
      <c r="BK47" t="s">
        <v>28</v>
      </c>
      <c r="BL47">
        <v>8</v>
      </c>
      <c r="BM47" t="s">
        <v>2447</v>
      </c>
      <c r="BN47" t="s">
        <v>2357</v>
      </c>
      <c r="BO47" t="s">
        <v>2448</v>
      </c>
      <c r="BP47" t="s">
        <v>2449</v>
      </c>
      <c r="BQ47" t="s">
        <v>28</v>
      </c>
      <c r="BR47" t="s">
        <v>28</v>
      </c>
      <c r="BS47" t="s">
        <v>28</v>
      </c>
      <c r="BT47" t="s">
        <v>28</v>
      </c>
      <c r="BU47" t="s">
        <v>2261</v>
      </c>
      <c r="BV47" t="s">
        <v>1984</v>
      </c>
      <c r="BW47" t="str">
        <f>HYPERLINK("https%3A%2F%2Fwww.webofscience.com%2Fwos%2Fwoscc%2Ffull-record%2FWOS:000322071400040","View Full Record in Web of Science")</f>
        <v>View Full Record in Web of Science</v>
      </c>
    </row>
    <row r="48" spans="1:75" x14ac:dyDescent="0.35">
      <c r="A48">
        <f>COUNTIF(Scopus!$E$2:$E$128,"="&amp;Tabelle6[[#This Row],[Article Title]])</f>
        <v>0</v>
      </c>
      <c r="B48">
        <v>3</v>
      </c>
      <c r="C48" s="1" t="s">
        <v>2149</v>
      </c>
      <c r="D48" t="s">
        <v>1321</v>
      </c>
      <c r="E48" t="s">
        <v>1967</v>
      </c>
      <c r="F48">
        <v>2010</v>
      </c>
      <c r="G48" t="s">
        <v>1969</v>
      </c>
      <c r="H48" t="s">
        <v>28</v>
      </c>
      <c r="I48" t="s">
        <v>28</v>
      </c>
      <c r="J48" t="s">
        <v>28</v>
      </c>
      <c r="K48" t="s">
        <v>1968</v>
      </c>
      <c r="L48" t="s">
        <v>28</v>
      </c>
      <c r="M48" t="s">
        <v>28</v>
      </c>
      <c r="N48" t="s">
        <v>1970</v>
      </c>
      <c r="O48" t="s">
        <v>28</v>
      </c>
      <c r="P48" t="s">
        <v>28</v>
      </c>
      <c r="Q48" t="s">
        <v>2242</v>
      </c>
      <c r="R48" t="s">
        <v>34</v>
      </c>
      <c r="S48" t="s">
        <v>28</v>
      </c>
      <c r="T48" t="s">
        <v>28</v>
      </c>
      <c r="U48" t="s">
        <v>28</v>
      </c>
      <c r="V48" t="s">
        <v>28</v>
      </c>
      <c r="W48" t="s">
        <v>28</v>
      </c>
      <c r="X48" t="s">
        <v>2834</v>
      </c>
      <c r="Y48" t="s">
        <v>2835</v>
      </c>
      <c r="Z48" t="s">
        <v>2836</v>
      </c>
      <c r="AA48" t="s">
        <v>2837</v>
      </c>
      <c r="AB48" t="s">
        <v>28</v>
      </c>
      <c r="AC48" t="s">
        <v>2838</v>
      </c>
      <c r="AD48" t="s">
        <v>2839</v>
      </c>
      <c r="AE48" t="s">
        <v>2840</v>
      </c>
      <c r="AF48" t="s">
        <v>2841</v>
      </c>
      <c r="AG48" t="s">
        <v>2842</v>
      </c>
      <c r="AH48" t="s">
        <v>2784</v>
      </c>
      <c r="AI48" t="s">
        <v>2843</v>
      </c>
      <c r="AJ48" t="s">
        <v>28</v>
      </c>
      <c r="AK48">
        <v>19</v>
      </c>
      <c r="AL48">
        <v>11</v>
      </c>
      <c r="AM48">
        <v>13</v>
      </c>
      <c r="AN48">
        <v>1</v>
      </c>
      <c r="AO48">
        <v>27</v>
      </c>
      <c r="AP48" t="s">
        <v>2293</v>
      </c>
      <c r="AQ48" t="s">
        <v>2294</v>
      </c>
      <c r="AR48" t="s">
        <v>2295</v>
      </c>
      <c r="AS48" t="s">
        <v>1971</v>
      </c>
      <c r="AT48" t="s">
        <v>28</v>
      </c>
      <c r="AU48" t="s">
        <v>28</v>
      </c>
      <c r="AV48" t="s">
        <v>2844</v>
      </c>
      <c r="AW48" t="s">
        <v>2845</v>
      </c>
      <c r="AX48" t="s">
        <v>1415</v>
      </c>
      <c r="AY48">
        <v>2</v>
      </c>
      <c r="AZ48">
        <v>2</v>
      </c>
      <c r="BA48" t="s">
        <v>28</v>
      </c>
      <c r="BB48" t="s">
        <v>28</v>
      </c>
      <c r="BC48" t="s">
        <v>28</v>
      </c>
      <c r="BD48" t="s">
        <v>28</v>
      </c>
      <c r="BE48">
        <v>49</v>
      </c>
      <c r="BF48">
        <v>65</v>
      </c>
      <c r="BG48" t="s">
        <v>28</v>
      </c>
      <c r="BH48" t="s">
        <v>1972</v>
      </c>
      <c r="BI48" t="str">
        <f>HYPERLINK("http://dx.doi.org/10.1016/j.epidem.2010.03.004","http://dx.doi.org/10.1016/j.epidem.2010.03.004")</f>
        <v>http://dx.doi.org/10.1016/j.epidem.2010.03.004</v>
      </c>
      <c r="BJ48" t="s">
        <v>28</v>
      </c>
      <c r="BK48" t="s">
        <v>28</v>
      </c>
      <c r="BL48">
        <v>17</v>
      </c>
      <c r="BM48" t="s">
        <v>2846</v>
      </c>
      <c r="BN48" t="s">
        <v>2314</v>
      </c>
      <c r="BO48" t="s">
        <v>2846</v>
      </c>
      <c r="BP48" t="s">
        <v>2847</v>
      </c>
      <c r="BQ48">
        <v>21352776</v>
      </c>
      <c r="BR48" t="s">
        <v>2848</v>
      </c>
      <c r="BS48" t="s">
        <v>28</v>
      </c>
      <c r="BT48" t="s">
        <v>28</v>
      </c>
      <c r="BU48" t="s">
        <v>2261</v>
      </c>
      <c r="BV48" t="s">
        <v>1973</v>
      </c>
      <c r="BW48" t="str">
        <f>HYPERLINK("https%3A%2F%2Fwww.webofscience.com%2Fwos%2Fwoscc%2Ffull-record%2FWOS:000208233500001","View Full Record in Web of Science")</f>
        <v>View Full Record in Web of Science</v>
      </c>
    </row>
    <row r="49" spans="1:75" x14ac:dyDescent="0.35">
      <c r="A49">
        <f>COUNTIF(Scopus!$E$2:$E$128,"="&amp;Tabelle6[[#This Row],[Article Title]])</f>
        <v>1</v>
      </c>
      <c r="B49">
        <v>1</v>
      </c>
      <c r="C49" s="1" t="s">
        <v>2148</v>
      </c>
      <c r="D49" t="s">
        <v>1321</v>
      </c>
      <c r="E49" t="s">
        <v>1929</v>
      </c>
      <c r="F49">
        <v>2013</v>
      </c>
      <c r="G49" t="s">
        <v>954</v>
      </c>
      <c r="H49" t="s">
        <v>28</v>
      </c>
      <c r="I49" t="s">
        <v>28</v>
      </c>
      <c r="J49" t="s">
        <v>28</v>
      </c>
      <c r="K49" t="s">
        <v>1930</v>
      </c>
      <c r="L49" t="s">
        <v>28</v>
      </c>
      <c r="M49" t="s">
        <v>28</v>
      </c>
      <c r="N49" t="s">
        <v>1846</v>
      </c>
      <c r="O49" t="s">
        <v>28</v>
      </c>
      <c r="P49" t="s">
        <v>28</v>
      </c>
      <c r="Q49" t="s">
        <v>2242</v>
      </c>
      <c r="R49" t="s">
        <v>34</v>
      </c>
      <c r="S49" t="s">
        <v>28</v>
      </c>
      <c r="T49" t="s">
        <v>28</v>
      </c>
      <c r="U49" t="s">
        <v>28</v>
      </c>
      <c r="V49" t="s">
        <v>28</v>
      </c>
      <c r="W49" t="s">
        <v>28</v>
      </c>
      <c r="X49" t="s">
        <v>2976</v>
      </c>
      <c r="Y49" t="s">
        <v>2977</v>
      </c>
      <c r="Z49" t="s">
        <v>2978</v>
      </c>
      <c r="AA49" t="s">
        <v>2979</v>
      </c>
      <c r="AB49" t="s">
        <v>28</v>
      </c>
      <c r="AC49" t="s">
        <v>2980</v>
      </c>
      <c r="AD49" t="s">
        <v>2981</v>
      </c>
      <c r="AE49" t="s">
        <v>28</v>
      </c>
      <c r="AF49" t="s">
        <v>28</v>
      </c>
      <c r="AG49" t="s">
        <v>28</v>
      </c>
      <c r="AH49" t="s">
        <v>28</v>
      </c>
      <c r="AI49" t="s">
        <v>28</v>
      </c>
      <c r="AJ49" t="s">
        <v>28</v>
      </c>
      <c r="AK49">
        <v>51</v>
      </c>
      <c r="AL49">
        <v>24</v>
      </c>
      <c r="AM49">
        <v>24</v>
      </c>
      <c r="AN49">
        <v>2</v>
      </c>
      <c r="AO49">
        <v>63</v>
      </c>
      <c r="AP49" t="s">
        <v>2327</v>
      </c>
      <c r="AQ49" t="s">
        <v>2328</v>
      </c>
      <c r="AR49" t="s">
        <v>2329</v>
      </c>
      <c r="AS49" t="s">
        <v>1848</v>
      </c>
      <c r="AT49" t="s">
        <v>1849</v>
      </c>
      <c r="AU49" t="s">
        <v>28</v>
      </c>
      <c r="AV49" t="s">
        <v>2330</v>
      </c>
      <c r="AW49" t="s">
        <v>2331</v>
      </c>
      <c r="AX49" t="s">
        <v>1596</v>
      </c>
      <c r="AY49">
        <v>27</v>
      </c>
      <c r="AZ49">
        <v>1</v>
      </c>
      <c r="BA49" t="s">
        <v>28</v>
      </c>
      <c r="BB49" t="s">
        <v>28</v>
      </c>
      <c r="BC49" t="s">
        <v>28</v>
      </c>
      <c r="BD49" t="s">
        <v>28</v>
      </c>
      <c r="BE49">
        <v>275</v>
      </c>
      <c r="BF49">
        <v>291</v>
      </c>
      <c r="BG49" t="s">
        <v>28</v>
      </c>
      <c r="BH49" t="s">
        <v>956</v>
      </c>
      <c r="BI49" t="str">
        <f>HYPERLINK("http://dx.doi.org/10.1007/s11269-012-0185-z","http://dx.doi.org/10.1007/s11269-012-0185-z")</f>
        <v>http://dx.doi.org/10.1007/s11269-012-0185-z</v>
      </c>
      <c r="BJ49" t="s">
        <v>28</v>
      </c>
      <c r="BK49" t="s">
        <v>28</v>
      </c>
      <c r="BL49">
        <v>17</v>
      </c>
      <c r="BM49" t="s">
        <v>2332</v>
      </c>
      <c r="BN49" t="s">
        <v>2258</v>
      </c>
      <c r="BO49" t="s">
        <v>2333</v>
      </c>
      <c r="BP49" t="s">
        <v>2982</v>
      </c>
      <c r="BQ49" t="s">
        <v>28</v>
      </c>
      <c r="BR49" t="s">
        <v>28</v>
      </c>
      <c r="BS49" t="s">
        <v>28</v>
      </c>
      <c r="BT49" t="s">
        <v>28</v>
      </c>
      <c r="BU49" t="s">
        <v>2261</v>
      </c>
      <c r="BV49" t="s">
        <v>1931</v>
      </c>
      <c r="BW49" t="str">
        <f>HYPERLINK("https%3A%2F%2Fwww.webofscience.com%2Fwos%2Fwoscc%2Ffull-record%2FWOS:000312731300017","View Full Record in Web of Science")</f>
        <v>View Full Record in Web of Science</v>
      </c>
    </row>
    <row r="50" spans="1:75" x14ac:dyDescent="0.35">
      <c r="A50">
        <f>COUNTIF(Scopus!$E$2:$E$128,"="&amp;Tabelle6[[#This Row],[Article Title]])</f>
        <v>1</v>
      </c>
      <c r="B50">
        <v>1</v>
      </c>
      <c r="C50" s="1" t="s">
        <v>2148</v>
      </c>
      <c r="D50" t="s">
        <v>1321</v>
      </c>
      <c r="E50" t="s">
        <v>1859</v>
      </c>
      <c r="F50">
        <v>2014</v>
      </c>
      <c r="G50" t="s">
        <v>1861</v>
      </c>
      <c r="H50" t="s">
        <v>28</v>
      </c>
      <c r="I50" t="s">
        <v>28</v>
      </c>
      <c r="J50" t="s">
        <v>28</v>
      </c>
      <c r="K50" t="s">
        <v>1860</v>
      </c>
      <c r="L50" t="s">
        <v>28</v>
      </c>
      <c r="M50" t="s">
        <v>28</v>
      </c>
      <c r="N50" t="s">
        <v>1399</v>
      </c>
      <c r="O50" t="s">
        <v>28</v>
      </c>
      <c r="P50" t="s">
        <v>28</v>
      </c>
      <c r="Q50" t="s">
        <v>2242</v>
      </c>
      <c r="R50" t="s">
        <v>34</v>
      </c>
      <c r="S50" t="s">
        <v>28</v>
      </c>
      <c r="T50" t="s">
        <v>28</v>
      </c>
      <c r="U50" t="s">
        <v>28</v>
      </c>
      <c r="V50" t="s">
        <v>28</v>
      </c>
      <c r="W50" t="s">
        <v>28</v>
      </c>
      <c r="X50" t="s">
        <v>2661</v>
      </c>
      <c r="Y50" t="s">
        <v>2662</v>
      </c>
      <c r="Z50" t="s">
        <v>2663</v>
      </c>
      <c r="AA50" t="s">
        <v>2664</v>
      </c>
      <c r="AB50" t="s">
        <v>28</v>
      </c>
      <c r="AC50" t="s">
        <v>2665</v>
      </c>
      <c r="AD50" t="s">
        <v>2666</v>
      </c>
      <c r="AE50" t="s">
        <v>28</v>
      </c>
      <c r="AF50" t="s">
        <v>1862</v>
      </c>
      <c r="AG50" t="s">
        <v>28</v>
      </c>
      <c r="AH50" t="s">
        <v>28</v>
      </c>
      <c r="AI50" t="s">
        <v>28</v>
      </c>
      <c r="AJ50" t="s">
        <v>28</v>
      </c>
      <c r="AK50">
        <v>33</v>
      </c>
      <c r="AL50">
        <v>8</v>
      </c>
      <c r="AM50">
        <v>10</v>
      </c>
      <c r="AN50">
        <v>2</v>
      </c>
      <c r="AO50">
        <v>51</v>
      </c>
      <c r="AP50" t="s">
        <v>2409</v>
      </c>
      <c r="AQ50" t="s">
        <v>2274</v>
      </c>
      <c r="AR50" t="s">
        <v>2410</v>
      </c>
      <c r="AS50" t="s">
        <v>28</v>
      </c>
      <c r="AT50" t="s">
        <v>1400</v>
      </c>
      <c r="AU50" t="s">
        <v>28</v>
      </c>
      <c r="AV50" t="s">
        <v>2276</v>
      </c>
      <c r="AW50" t="s">
        <v>2277</v>
      </c>
      <c r="AX50" t="s">
        <v>1701</v>
      </c>
      <c r="AY50">
        <v>6</v>
      </c>
      <c r="AZ50">
        <v>3</v>
      </c>
      <c r="BA50" t="s">
        <v>28</v>
      </c>
      <c r="BB50" t="s">
        <v>28</v>
      </c>
      <c r="BC50" t="s">
        <v>28</v>
      </c>
      <c r="BD50" t="s">
        <v>28</v>
      </c>
      <c r="BE50">
        <v>723</v>
      </c>
      <c r="BF50">
        <v>744</v>
      </c>
      <c r="BG50" t="s">
        <v>28</v>
      </c>
      <c r="BH50" t="s">
        <v>882</v>
      </c>
      <c r="BI50" t="str">
        <f>HYPERLINK("http://dx.doi.org/10.3390/w6030723","http://dx.doi.org/10.3390/w6030723")</f>
        <v>http://dx.doi.org/10.3390/w6030723</v>
      </c>
      <c r="BJ50" t="s">
        <v>28</v>
      </c>
      <c r="BK50" t="s">
        <v>28</v>
      </c>
      <c r="BL50">
        <v>22</v>
      </c>
      <c r="BM50" t="s">
        <v>2278</v>
      </c>
      <c r="BN50" t="s">
        <v>2258</v>
      </c>
      <c r="BO50" t="s">
        <v>2279</v>
      </c>
      <c r="BP50" t="s">
        <v>2667</v>
      </c>
      <c r="BQ50" t="s">
        <v>28</v>
      </c>
      <c r="BR50" t="s">
        <v>2668</v>
      </c>
      <c r="BS50" t="s">
        <v>28</v>
      </c>
      <c r="BT50" t="s">
        <v>28</v>
      </c>
      <c r="BU50" t="s">
        <v>2261</v>
      </c>
      <c r="BV50" t="s">
        <v>1863</v>
      </c>
      <c r="BW50" t="str">
        <f>HYPERLINK("https%3A%2F%2Fwww.webofscience.com%2Fwos%2Fwoscc%2Ffull-record%2FWOS:000335896000015","View Full Record in Web of Science")</f>
        <v>View Full Record in Web of Science</v>
      </c>
    </row>
    <row r="51" spans="1:75" x14ac:dyDescent="0.35">
      <c r="A51">
        <f>COUNTIF(Scopus!$E$2:$E$128,"="&amp;Tabelle6[[#This Row],[Article Title]])</f>
        <v>1</v>
      </c>
      <c r="B51">
        <v>1</v>
      </c>
      <c r="C51" s="1" t="s">
        <v>2148</v>
      </c>
      <c r="D51" t="s">
        <v>1321</v>
      </c>
      <c r="E51" t="s">
        <v>1322</v>
      </c>
      <c r="F51">
        <v>2022</v>
      </c>
      <c r="G51" t="s">
        <v>62</v>
      </c>
      <c r="H51" t="s">
        <v>28</v>
      </c>
      <c r="I51" t="s">
        <v>28</v>
      </c>
      <c r="J51" t="s">
        <v>28</v>
      </c>
      <c r="K51" t="s">
        <v>1323</v>
      </c>
      <c r="L51" t="s">
        <v>28</v>
      </c>
      <c r="M51" t="s">
        <v>28</v>
      </c>
      <c r="N51" t="s">
        <v>1324</v>
      </c>
      <c r="O51" t="s">
        <v>28</v>
      </c>
      <c r="P51" t="s">
        <v>28</v>
      </c>
      <c r="Q51" t="s">
        <v>2242</v>
      </c>
      <c r="R51" t="s">
        <v>34</v>
      </c>
      <c r="S51" t="s">
        <v>28</v>
      </c>
      <c r="T51" t="s">
        <v>28</v>
      </c>
      <c r="U51" t="s">
        <v>28</v>
      </c>
      <c r="V51" t="s">
        <v>28</v>
      </c>
      <c r="W51" t="s">
        <v>28</v>
      </c>
      <c r="X51" t="s">
        <v>2375</v>
      </c>
      <c r="Y51" t="s">
        <v>2376</v>
      </c>
      <c r="Z51" t="s">
        <v>2377</v>
      </c>
      <c r="AA51" t="s">
        <v>2378</v>
      </c>
      <c r="AB51" t="s">
        <v>28</v>
      </c>
      <c r="AC51" t="s">
        <v>2379</v>
      </c>
      <c r="AD51" t="s">
        <v>2380</v>
      </c>
      <c r="AE51" t="s">
        <v>28</v>
      </c>
      <c r="AF51" t="s">
        <v>28</v>
      </c>
      <c r="AG51" t="s">
        <v>2381</v>
      </c>
      <c r="AH51" t="s">
        <v>2291</v>
      </c>
      <c r="AI51" t="s">
        <v>2382</v>
      </c>
      <c r="AJ51" t="s">
        <v>28</v>
      </c>
      <c r="AK51">
        <v>66</v>
      </c>
      <c r="AL51">
        <v>0</v>
      </c>
      <c r="AM51">
        <v>0</v>
      </c>
      <c r="AN51">
        <v>1</v>
      </c>
      <c r="AO51">
        <v>1</v>
      </c>
      <c r="AP51" t="s">
        <v>2383</v>
      </c>
      <c r="AQ51" t="s">
        <v>2384</v>
      </c>
      <c r="AR51" t="s">
        <v>2385</v>
      </c>
      <c r="AS51" t="s">
        <v>28</v>
      </c>
      <c r="AT51" t="s">
        <v>1325</v>
      </c>
      <c r="AU51" t="s">
        <v>28</v>
      </c>
      <c r="AV51" t="s">
        <v>1324</v>
      </c>
      <c r="AW51" t="s">
        <v>2386</v>
      </c>
      <c r="AX51" t="s">
        <v>1326</v>
      </c>
      <c r="AY51">
        <v>10</v>
      </c>
      <c r="AZ51">
        <v>2</v>
      </c>
      <c r="BA51" t="s">
        <v>28</v>
      </c>
      <c r="BB51" t="s">
        <v>28</v>
      </c>
      <c r="BC51" t="s">
        <v>28</v>
      </c>
      <c r="BD51" t="s">
        <v>28</v>
      </c>
      <c r="BE51" t="s">
        <v>28</v>
      </c>
      <c r="BF51" t="s">
        <v>28</v>
      </c>
      <c r="BG51" t="s">
        <v>66</v>
      </c>
      <c r="BH51" t="s">
        <v>67</v>
      </c>
      <c r="BI51" t="str">
        <f>HYPERLINK("http://dx.doi.org/10.1029/2020EF001883","http://dx.doi.org/10.1029/2020EF001883")</f>
        <v>http://dx.doi.org/10.1029/2020EF001883</v>
      </c>
      <c r="BJ51" t="s">
        <v>28</v>
      </c>
      <c r="BK51" t="s">
        <v>28</v>
      </c>
      <c r="BL51">
        <v>17</v>
      </c>
      <c r="BM51" t="s">
        <v>2387</v>
      </c>
      <c r="BN51" t="s">
        <v>2258</v>
      </c>
      <c r="BO51" t="s">
        <v>2388</v>
      </c>
      <c r="BP51" t="s">
        <v>2389</v>
      </c>
      <c r="BQ51" t="s">
        <v>28</v>
      </c>
      <c r="BR51" t="s">
        <v>2390</v>
      </c>
      <c r="BS51" t="s">
        <v>28</v>
      </c>
      <c r="BT51" t="s">
        <v>28</v>
      </c>
      <c r="BU51" t="s">
        <v>2261</v>
      </c>
      <c r="BV51" t="s">
        <v>1327</v>
      </c>
      <c r="BW51" t="str">
        <f>HYPERLINK("https%3A%2F%2Fwww.webofscience.com%2Fwos%2Fwoscc%2Ffull-record%2FWOS:000763473200001","View Full Record in Web of Science")</f>
        <v>View Full Record in Web of Science</v>
      </c>
    </row>
    <row r="52" spans="1:75" x14ac:dyDescent="0.35">
      <c r="A52">
        <f>COUNTIF(Scopus!$E$2:$E$128,"="&amp;Tabelle6[[#This Row],[Article Title]])</f>
        <v>0</v>
      </c>
      <c r="B52">
        <v>3</v>
      </c>
      <c r="C52" s="1" t="s">
        <v>2149</v>
      </c>
      <c r="D52" t="s">
        <v>1321</v>
      </c>
      <c r="E52" t="s">
        <v>1664</v>
      </c>
      <c r="F52">
        <v>2017</v>
      </c>
      <c r="G52" t="s">
        <v>1666</v>
      </c>
      <c r="H52" t="s">
        <v>28</v>
      </c>
      <c r="I52" t="s">
        <v>28</v>
      </c>
      <c r="J52" t="s">
        <v>28</v>
      </c>
      <c r="K52" t="s">
        <v>1665</v>
      </c>
      <c r="L52" t="s">
        <v>28</v>
      </c>
      <c r="M52" t="s">
        <v>28</v>
      </c>
      <c r="N52" t="s">
        <v>1469</v>
      </c>
      <c r="O52" t="s">
        <v>28</v>
      </c>
      <c r="P52" t="s">
        <v>28</v>
      </c>
      <c r="Q52" t="s">
        <v>2242</v>
      </c>
      <c r="R52" t="s">
        <v>34</v>
      </c>
      <c r="S52" t="s">
        <v>28</v>
      </c>
      <c r="T52" t="s">
        <v>28</v>
      </c>
      <c r="U52" t="s">
        <v>28</v>
      </c>
      <c r="V52" t="s">
        <v>28</v>
      </c>
      <c r="W52" t="s">
        <v>28</v>
      </c>
      <c r="X52" t="s">
        <v>3499</v>
      </c>
      <c r="Y52" t="s">
        <v>3500</v>
      </c>
      <c r="Z52" t="s">
        <v>3501</v>
      </c>
      <c r="AA52" t="s">
        <v>3502</v>
      </c>
      <c r="AB52" t="s">
        <v>28</v>
      </c>
      <c r="AC52" t="s">
        <v>3503</v>
      </c>
      <c r="AD52" t="s">
        <v>3504</v>
      </c>
      <c r="AE52" t="s">
        <v>1667</v>
      </c>
      <c r="AF52" t="s">
        <v>3505</v>
      </c>
      <c r="AG52" t="s">
        <v>3506</v>
      </c>
      <c r="AH52" t="s">
        <v>3507</v>
      </c>
      <c r="AI52" t="s">
        <v>3508</v>
      </c>
      <c r="AJ52" t="s">
        <v>28</v>
      </c>
      <c r="AK52">
        <v>47</v>
      </c>
      <c r="AL52">
        <v>63</v>
      </c>
      <c r="AM52">
        <v>63</v>
      </c>
      <c r="AN52">
        <v>5</v>
      </c>
      <c r="AO52">
        <v>192</v>
      </c>
      <c r="AP52" t="s">
        <v>2293</v>
      </c>
      <c r="AQ52" t="s">
        <v>2294</v>
      </c>
      <c r="AR52" t="s">
        <v>2295</v>
      </c>
      <c r="AS52" t="s">
        <v>1470</v>
      </c>
      <c r="AT52" t="s">
        <v>1471</v>
      </c>
      <c r="AU52" t="s">
        <v>28</v>
      </c>
      <c r="AV52" t="s">
        <v>2433</v>
      </c>
      <c r="AW52" t="s">
        <v>2434</v>
      </c>
      <c r="AX52" t="s">
        <v>1348</v>
      </c>
      <c r="AY52">
        <v>595</v>
      </c>
      <c r="AZ52" t="s">
        <v>28</v>
      </c>
      <c r="BA52" t="s">
        <v>28</v>
      </c>
      <c r="BB52" t="s">
        <v>28</v>
      </c>
      <c r="BC52" t="s">
        <v>28</v>
      </c>
      <c r="BD52" t="s">
        <v>28</v>
      </c>
      <c r="BE52">
        <v>159</v>
      </c>
      <c r="BF52">
        <v>168</v>
      </c>
      <c r="BG52" t="s">
        <v>28</v>
      </c>
      <c r="BH52" t="s">
        <v>1668</v>
      </c>
      <c r="BI52" t="str">
        <f>HYPERLINK("http://dx.doi.org/10.1016/j.scitotenv.2017.03.242","http://dx.doi.org/10.1016/j.scitotenv.2017.03.242")</f>
        <v>http://dx.doi.org/10.1016/j.scitotenv.2017.03.242</v>
      </c>
      <c r="BJ52" t="s">
        <v>28</v>
      </c>
      <c r="BK52" t="s">
        <v>28</v>
      </c>
      <c r="BL52">
        <v>10</v>
      </c>
      <c r="BM52" t="s">
        <v>2435</v>
      </c>
      <c r="BN52" t="s">
        <v>2314</v>
      </c>
      <c r="BO52" t="s">
        <v>2436</v>
      </c>
      <c r="BP52" t="s">
        <v>3509</v>
      </c>
      <c r="BQ52">
        <v>28384572</v>
      </c>
      <c r="BR52" t="s">
        <v>3510</v>
      </c>
      <c r="BS52" t="s">
        <v>28</v>
      </c>
      <c r="BT52" t="s">
        <v>28</v>
      </c>
      <c r="BU52" t="s">
        <v>2261</v>
      </c>
      <c r="BV52" t="s">
        <v>1669</v>
      </c>
      <c r="BW52" t="str">
        <f>HYPERLINK("https%3A%2F%2Fwww.webofscience.com%2Fwos%2Fwoscc%2Ffull-record%2FWOS:000401556800018","View Full Record in Web of Science")</f>
        <v>View Full Record in Web of Science</v>
      </c>
    </row>
    <row r="53" spans="1:75" x14ac:dyDescent="0.35">
      <c r="A53">
        <f>COUNTIF(Scopus!$E$2:$E$128,"="&amp;Tabelle6[[#This Row],[Article Title]])</f>
        <v>1</v>
      </c>
      <c r="B53">
        <v>1</v>
      </c>
      <c r="C53" s="1" t="s">
        <v>2148</v>
      </c>
      <c r="D53" t="s">
        <v>1321</v>
      </c>
      <c r="E53" t="s">
        <v>3642</v>
      </c>
      <c r="F53">
        <v>2020</v>
      </c>
      <c r="G53" t="s">
        <v>259</v>
      </c>
      <c r="H53" t="s">
        <v>28</v>
      </c>
      <c r="I53" t="s">
        <v>28</v>
      </c>
      <c r="J53" t="s">
        <v>28</v>
      </c>
      <c r="K53" t="s">
        <v>3643</v>
      </c>
      <c r="L53" t="s">
        <v>28</v>
      </c>
      <c r="M53" t="s">
        <v>28</v>
      </c>
      <c r="N53" t="s">
        <v>3644</v>
      </c>
      <c r="O53" t="s">
        <v>28</v>
      </c>
      <c r="P53" t="s">
        <v>28</v>
      </c>
      <c r="Q53" t="s">
        <v>2242</v>
      </c>
      <c r="R53" t="s">
        <v>34</v>
      </c>
      <c r="S53" t="s">
        <v>28</v>
      </c>
      <c r="T53" t="s">
        <v>28</v>
      </c>
      <c r="U53" t="s">
        <v>28</v>
      </c>
      <c r="V53" t="s">
        <v>28</v>
      </c>
      <c r="W53" t="s">
        <v>28</v>
      </c>
      <c r="X53" t="s">
        <v>3645</v>
      </c>
      <c r="Y53" t="s">
        <v>3646</v>
      </c>
      <c r="Z53" t="s">
        <v>3647</v>
      </c>
      <c r="AA53" t="s">
        <v>3648</v>
      </c>
      <c r="AB53" t="s">
        <v>28</v>
      </c>
      <c r="AC53" t="s">
        <v>3649</v>
      </c>
      <c r="AD53" t="s">
        <v>3650</v>
      </c>
      <c r="AE53" t="s">
        <v>28</v>
      </c>
      <c r="AF53" t="s">
        <v>3651</v>
      </c>
      <c r="AG53" t="s">
        <v>3652</v>
      </c>
      <c r="AH53" t="s">
        <v>3653</v>
      </c>
      <c r="AI53" t="s">
        <v>3654</v>
      </c>
      <c r="AJ53" t="s">
        <v>28</v>
      </c>
      <c r="AK53">
        <v>58</v>
      </c>
      <c r="AL53">
        <v>3</v>
      </c>
      <c r="AM53">
        <v>3</v>
      </c>
      <c r="AN53">
        <v>1</v>
      </c>
      <c r="AO53">
        <v>4</v>
      </c>
      <c r="AP53" t="s">
        <v>2293</v>
      </c>
      <c r="AQ53" t="s">
        <v>2294</v>
      </c>
      <c r="AR53" t="s">
        <v>2295</v>
      </c>
      <c r="AS53" t="s">
        <v>3655</v>
      </c>
      <c r="AT53" t="s">
        <v>28</v>
      </c>
      <c r="AU53" t="s">
        <v>28</v>
      </c>
      <c r="AV53" t="s">
        <v>3656</v>
      </c>
      <c r="AW53" t="s">
        <v>3657</v>
      </c>
      <c r="AX53" t="s">
        <v>1326</v>
      </c>
      <c r="AY53">
        <v>29</v>
      </c>
      <c r="AZ53" t="s">
        <v>28</v>
      </c>
      <c r="BA53" t="s">
        <v>28</v>
      </c>
      <c r="BB53" t="s">
        <v>28</v>
      </c>
      <c r="BC53" t="s">
        <v>28</v>
      </c>
      <c r="BD53" t="s">
        <v>28</v>
      </c>
      <c r="BE53" t="s">
        <v>28</v>
      </c>
      <c r="BF53" t="s">
        <v>28</v>
      </c>
      <c r="BG53">
        <v>102115</v>
      </c>
      <c r="BH53" t="s">
        <v>263</v>
      </c>
      <c r="BI53" t="str">
        <f>HYPERLINK("http://dx.doi.org/10.1016/j.jasrep.2019.102115","http://dx.doi.org/10.1016/j.jasrep.2019.102115")</f>
        <v>http://dx.doi.org/10.1016/j.jasrep.2019.102115</v>
      </c>
      <c r="BJ53" t="s">
        <v>28</v>
      </c>
      <c r="BK53" t="s">
        <v>28</v>
      </c>
      <c r="BL53">
        <v>16</v>
      </c>
      <c r="BM53" t="s">
        <v>3658</v>
      </c>
      <c r="BN53" t="s">
        <v>3659</v>
      </c>
      <c r="BO53" t="s">
        <v>3658</v>
      </c>
      <c r="BP53" t="s">
        <v>3660</v>
      </c>
      <c r="BQ53" t="s">
        <v>28</v>
      </c>
      <c r="BR53" t="s">
        <v>2438</v>
      </c>
      <c r="BS53" t="s">
        <v>28</v>
      </c>
      <c r="BT53" t="s">
        <v>28</v>
      </c>
      <c r="BU53" t="s">
        <v>2261</v>
      </c>
      <c r="BV53" t="s">
        <v>3661</v>
      </c>
      <c r="BW53" t="str">
        <f>HYPERLINK("https%3A%2F%2Fwww.webofscience.com%2Fwos%2Fwoscc%2Ffull-record%2FWOS:000522788600072","View Full Record in Web of Science")</f>
        <v>View Full Record in Web of Science</v>
      </c>
    </row>
    <row r="54" spans="1:75" x14ac:dyDescent="0.35">
      <c r="A54">
        <f>COUNTIF(Scopus!$E$2:$E$128,"="&amp;Tabelle6[[#This Row],[Article Title]])</f>
        <v>1</v>
      </c>
      <c r="B54">
        <v>1</v>
      </c>
      <c r="C54" s="1" t="s">
        <v>2148</v>
      </c>
      <c r="D54" t="s">
        <v>1417</v>
      </c>
      <c r="E54" t="s">
        <v>1785</v>
      </c>
      <c r="F54">
        <v>2016</v>
      </c>
      <c r="G54" t="s">
        <v>1788</v>
      </c>
      <c r="H54" t="s">
        <v>28</v>
      </c>
      <c r="I54" t="s">
        <v>1786</v>
      </c>
      <c r="J54" t="s">
        <v>28</v>
      </c>
      <c r="K54" t="s">
        <v>1787</v>
      </c>
      <c r="L54" t="s">
        <v>28</v>
      </c>
      <c r="M54" t="s">
        <v>28</v>
      </c>
      <c r="N54" t="s">
        <v>1789</v>
      </c>
      <c r="O54" t="s">
        <v>28</v>
      </c>
      <c r="P54" t="s">
        <v>28</v>
      </c>
      <c r="Q54" t="s">
        <v>2242</v>
      </c>
      <c r="R54" t="s">
        <v>2345</v>
      </c>
      <c r="S54" t="s">
        <v>1790</v>
      </c>
      <c r="T54" t="s">
        <v>1791</v>
      </c>
      <c r="U54" t="s">
        <v>1792</v>
      </c>
      <c r="V54" t="s">
        <v>3325</v>
      </c>
      <c r="W54" t="s">
        <v>28</v>
      </c>
      <c r="X54" t="s">
        <v>28</v>
      </c>
      <c r="Y54" t="s">
        <v>3326</v>
      </c>
      <c r="Z54" t="s">
        <v>3327</v>
      </c>
      <c r="AA54" t="s">
        <v>3328</v>
      </c>
      <c r="AB54" t="s">
        <v>28</v>
      </c>
      <c r="AC54" t="s">
        <v>3329</v>
      </c>
      <c r="AD54" t="s">
        <v>3330</v>
      </c>
      <c r="AE54" t="s">
        <v>3331</v>
      </c>
      <c r="AF54" t="s">
        <v>3332</v>
      </c>
      <c r="AG54" t="s">
        <v>3333</v>
      </c>
      <c r="AH54" t="s">
        <v>3334</v>
      </c>
      <c r="AI54" t="s">
        <v>3335</v>
      </c>
      <c r="AJ54" t="s">
        <v>28</v>
      </c>
      <c r="AK54">
        <v>25</v>
      </c>
      <c r="AL54">
        <v>4</v>
      </c>
      <c r="AM54">
        <v>4</v>
      </c>
      <c r="AN54">
        <v>0</v>
      </c>
      <c r="AO54">
        <v>6</v>
      </c>
      <c r="AP54" t="s">
        <v>1419</v>
      </c>
      <c r="AQ54" t="s">
        <v>2354</v>
      </c>
      <c r="AR54" t="s">
        <v>2691</v>
      </c>
      <c r="AS54" t="s">
        <v>28</v>
      </c>
      <c r="AT54" t="s">
        <v>28</v>
      </c>
      <c r="AU54" t="s">
        <v>1793</v>
      </c>
      <c r="AV54" t="s">
        <v>28</v>
      </c>
      <c r="AW54" t="s">
        <v>28</v>
      </c>
      <c r="AX54" t="s">
        <v>28</v>
      </c>
      <c r="AY54" t="s">
        <v>28</v>
      </c>
      <c r="AZ54" t="s">
        <v>28</v>
      </c>
      <c r="BA54" t="s">
        <v>28</v>
      </c>
      <c r="BB54" t="s">
        <v>28</v>
      </c>
      <c r="BC54" t="s">
        <v>28</v>
      </c>
      <c r="BD54" t="s">
        <v>28</v>
      </c>
      <c r="BE54">
        <v>220</v>
      </c>
      <c r="BF54">
        <v>227</v>
      </c>
      <c r="BG54" t="s">
        <v>28</v>
      </c>
      <c r="BH54" t="s">
        <v>1794</v>
      </c>
      <c r="BI54" t="str">
        <f>HYPERLINK("http://dx.doi.org/10.1109/UIC-ATC-ScalCom-CBDCom-IoP-SmartWorld.2016.116","http://dx.doi.org/10.1109/UIC-ATC-ScalCom-CBDCom-IoP-SmartWorld.2016.116")</f>
        <v>http://dx.doi.org/10.1109/UIC-ATC-ScalCom-CBDCom-IoP-SmartWorld.2016.116</v>
      </c>
      <c r="BJ54" t="s">
        <v>28</v>
      </c>
      <c r="BK54" t="s">
        <v>28</v>
      </c>
      <c r="BL54">
        <v>8</v>
      </c>
      <c r="BM54" t="s">
        <v>2793</v>
      </c>
      <c r="BN54" t="s">
        <v>2357</v>
      </c>
      <c r="BO54" t="s">
        <v>2315</v>
      </c>
      <c r="BP54" t="s">
        <v>3336</v>
      </c>
      <c r="BQ54" t="s">
        <v>28</v>
      </c>
      <c r="BR54" t="s">
        <v>28</v>
      </c>
      <c r="BS54" t="s">
        <v>28</v>
      </c>
      <c r="BT54" t="s">
        <v>28</v>
      </c>
      <c r="BU54" t="s">
        <v>2261</v>
      </c>
      <c r="BV54" t="s">
        <v>1795</v>
      </c>
      <c r="BW54" t="str">
        <f>HYPERLINK("https%3A%2F%2Fwww.webofscience.com%2Fwos%2Fwoscc%2Ffull-record%2FWOS:000393306500029","View Full Record in Web of Science")</f>
        <v>View Full Record in Web of Science</v>
      </c>
    </row>
    <row r="55" spans="1:75" x14ac:dyDescent="0.35">
      <c r="A55">
        <f>COUNTIF(Scopus!$E$2:$E$128,"="&amp;Tabelle6[[#This Row],[Article Title]])</f>
        <v>1</v>
      </c>
      <c r="B55">
        <v>1</v>
      </c>
      <c r="C55" s="1" t="s">
        <v>2148</v>
      </c>
      <c r="D55" t="s">
        <v>1321</v>
      </c>
      <c r="E55" t="s">
        <v>1670</v>
      </c>
      <c r="F55">
        <v>2017</v>
      </c>
      <c r="G55" t="s">
        <v>540</v>
      </c>
      <c r="H55" t="s">
        <v>28</v>
      </c>
      <c r="I55" t="s">
        <v>28</v>
      </c>
      <c r="J55" t="s">
        <v>28</v>
      </c>
      <c r="K55" t="s">
        <v>1671</v>
      </c>
      <c r="L55" t="s">
        <v>28</v>
      </c>
      <c r="M55" t="s">
        <v>28</v>
      </c>
      <c r="N55" t="s">
        <v>1672</v>
      </c>
      <c r="O55" t="s">
        <v>28</v>
      </c>
      <c r="P55" t="s">
        <v>28</v>
      </c>
      <c r="Q55" t="s">
        <v>2242</v>
      </c>
      <c r="R55" t="s">
        <v>34</v>
      </c>
      <c r="S55" t="s">
        <v>28</v>
      </c>
      <c r="T55" t="s">
        <v>28</v>
      </c>
      <c r="U55" t="s">
        <v>28</v>
      </c>
      <c r="V55" t="s">
        <v>28</v>
      </c>
      <c r="W55" t="s">
        <v>28</v>
      </c>
      <c r="X55" t="s">
        <v>545</v>
      </c>
      <c r="Y55" t="s">
        <v>3248</v>
      </c>
      <c r="Z55" t="s">
        <v>3249</v>
      </c>
      <c r="AA55" t="s">
        <v>3250</v>
      </c>
      <c r="AB55" t="s">
        <v>28</v>
      </c>
      <c r="AC55" t="s">
        <v>3251</v>
      </c>
      <c r="AD55" t="s">
        <v>3252</v>
      </c>
      <c r="AE55" t="s">
        <v>28</v>
      </c>
      <c r="AF55" t="s">
        <v>1564</v>
      </c>
      <c r="AG55" t="s">
        <v>2548</v>
      </c>
      <c r="AH55" t="s">
        <v>2291</v>
      </c>
      <c r="AI55" t="s">
        <v>2549</v>
      </c>
      <c r="AJ55" t="s">
        <v>28</v>
      </c>
      <c r="AK55">
        <v>52</v>
      </c>
      <c r="AL55">
        <v>21</v>
      </c>
      <c r="AM55">
        <v>23</v>
      </c>
      <c r="AN55">
        <v>10</v>
      </c>
      <c r="AO55">
        <v>61</v>
      </c>
      <c r="AP55" t="s">
        <v>2632</v>
      </c>
      <c r="AQ55" t="s">
        <v>2511</v>
      </c>
      <c r="AR55" t="s">
        <v>2512</v>
      </c>
      <c r="AS55" t="s">
        <v>1673</v>
      </c>
      <c r="AT55" t="s">
        <v>1674</v>
      </c>
      <c r="AU55" t="s">
        <v>28</v>
      </c>
      <c r="AV55" t="s">
        <v>3253</v>
      </c>
      <c r="AW55" t="s">
        <v>3254</v>
      </c>
      <c r="AX55" t="s">
        <v>1522</v>
      </c>
      <c r="AY55">
        <v>37</v>
      </c>
      <c r="AZ55">
        <v>10</v>
      </c>
      <c r="BA55" t="s">
        <v>28</v>
      </c>
      <c r="BB55" t="s">
        <v>28</v>
      </c>
      <c r="BC55" t="s">
        <v>28</v>
      </c>
      <c r="BD55" t="s">
        <v>28</v>
      </c>
      <c r="BE55">
        <v>2005</v>
      </c>
      <c r="BF55">
        <v>2022</v>
      </c>
      <c r="BG55" t="s">
        <v>28</v>
      </c>
      <c r="BH55" t="s">
        <v>542</v>
      </c>
      <c r="BI55" t="str">
        <f>HYPERLINK("http://dx.doi.org/10.1111/risa.12760","http://dx.doi.org/10.1111/risa.12760")</f>
        <v>http://dx.doi.org/10.1111/risa.12760</v>
      </c>
      <c r="BJ55" t="s">
        <v>28</v>
      </c>
      <c r="BK55" t="s">
        <v>28</v>
      </c>
      <c r="BL55">
        <v>18</v>
      </c>
      <c r="BM55" t="s">
        <v>3255</v>
      </c>
      <c r="BN55" t="s">
        <v>2258</v>
      </c>
      <c r="BO55" t="s">
        <v>3256</v>
      </c>
      <c r="BP55" t="s">
        <v>3257</v>
      </c>
      <c r="BQ55">
        <v>28076659</v>
      </c>
      <c r="BR55" t="s">
        <v>2490</v>
      </c>
      <c r="BS55" t="s">
        <v>28</v>
      </c>
      <c r="BT55" t="s">
        <v>28</v>
      </c>
      <c r="BU55" t="s">
        <v>2261</v>
      </c>
      <c r="BV55" t="s">
        <v>1675</v>
      </c>
      <c r="BW55" t="str">
        <f>HYPERLINK("https%3A%2F%2Fwww.webofscience.com%2Fwos%2Fwoscc%2Ffull-record%2FWOS:000412327600014","View Full Record in Web of Science")</f>
        <v>View Full Record in Web of Science</v>
      </c>
    </row>
    <row r="56" spans="1:75" x14ac:dyDescent="0.35">
      <c r="A56">
        <f>COUNTIF(Scopus!$E$2:$E$128,"="&amp;Tabelle6[[#This Row],[Article Title]])</f>
        <v>1</v>
      </c>
      <c r="B56">
        <v>1</v>
      </c>
      <c r="C56" s="1" t="s">
        <v>2148</v>
      </c>
      <c r="D56" t="s">
        <v>1321</v>
      </c>
      <c r="E56" t="s">
        <v>1561</v>
      </c>
      <c r="F56">
        <v>2019</v>
      </c>
      <c r="G56" t="s">
        <v>357</v>
      </c>
      <c r="H56" t="s">
        <v>28</v>
      </c>
      <c r="I56" t="s">
        <v>28</v>
      </c>
      <c r="J56" t="s">
        <v>28</v>
      </c>
      <c r="K56" t="s">
        <v>1562</v>
      </c>
      <c r="L56" t="s">
        <v>28</v>
      </c>
      <c r="M56" t="s">
        <v>28</v>
      </c>
      <c r="N56" t="s">
        <v>1563</v>
      </c>
      <c r="O56" t="s">
        <v>28</v>
      </c>
      <c r="P56" t="s">
        <v>28</v>
      </c>
      <c r="Q56" t="s">
        <v>2242</v>
      </c>
      <c r="R56" t="s">
        <v>34</v>
      </c>
      <c r="S56" t="s">
        <v>28</v>
      </c>
      <c r="T56" t="s">
        <v>28</v>
      </c>
      <c r="U56" t="s">
        <v>28</v>
      </c>
      <c r="V56" t="s">
        <v>28</v>
      </c>
      <c r="W56" t="s">
        <v>28</v>
      </c>
      <c r="X56" t="s">
        <v>2542</v>
      </c>
      <c r="Y56" t="s">
        <v>2543</v>
      </c>
      <c r="Z56" t="s">
        <v>2544</v>
      </c>
      <c r="AA56" t="s">
        <v>2545</v>
      </c>
      <c r="AB56" t="s">
        <v>28</v>
      </c>
      <c r="AC56" t="s">
        <v>2546</v>
      </c>
      <c r="AD56" t="s">
        <v>2547</v>
      </c>
      <c r="AE56" t="s">
        <v>28</v>
      </c>
      <c r="AF56" t="s">
        <v>1564</v>
      </c>
      <c r="AG56" t="s">
        <v>2548</v>
      </c>
      <c r="AH56" t="s">
        <v>2291</v>
      </c>
      <c r="AI56" t="s">
        <v>2549</v>
      </c>
      <c r="AJ56" t="s">
        <v>28</v>
      </c>
      <c r="AK56">
        <v>103</v>
      </c>
      <c r="AL56">
        <v>17</v>
      </c>
      <c r="AM56">
        <v>18</v>
      </c>
      <c r="AN56">
        <v>6</v>
      </c>
      <c r="AO56">
        <v>46</v>
      </c>
      <c r="AP56" t="s">
        <v>2293</v>
      </c>
      <c r="AQ56" t="s">
        <v>2294</v>
      </c>
      <c r="AR56" t="s">
        <v>2295</v>
      </c>
      <c r="AS56" t="s">
        <v>1565</v>
      </c>
      <c r="AT56" t="s">
        <v>1566</v>
      </c>
      <c r="AU56" t="s">
        <v>28</v>
      </c>
      <c r="AV56" t="s">
        <v>2550</v>
      </c>
      <c r="AW56" t="s">
        <v>2551</v>
      </c>
      <c r="AX56" t="s">
        <v>1401</v>
      </c>
      <c r="AY56">
        <v>46</v>
      </c>
      <c r="AZ56" t="s">
        <v>28</v>
      </c>
      <c r="BA56" t="s">
        <v>28</v>
      </c>
      <c r="BB56" t="s">
        <v>28</v>
      </c>
      <c r="BC56" t="s">
        <v>28</v>
      </c>
      <c r="BD56" t="s">
        <v>28</v>
      </c>
      <c r="BE56" t="s">
        <v>28</v>
      </c>
      <c r="BF56" t="s">
        <v>28</v>
      </c>
      <c r="BG56">
        <v>101412</v>
      </c>
      <c r="BH56" t="s">
        <v>361</v>
      </c>
      <c r="BI56" t="str">
        <f>HYPERLINK("http://dx.doi.org/10.1016/j.scs.2018.12.040","http://dx.doi.org/10.1016/j.scs.2018.12.040")</f>
        <v>http://dx.doi.org/10.1016/j.scs.2018.12.040</v>
      </c>
      <c r="BJ56" t="s">
        <v>28</v>
      </c>
      <c r="BK56" t="s">
        <v>28</v>
      </c>
      <c r="BL56">
        <v>15</v>
      </c>
      <c r="BM56" t="s">
        <v>2552</v>
      </c>
      <c r="BN56" t="s">
        <v>2258</v>
      </c>
      <c r="BO56" t="s">
        <v>2553</v>
      </c>
      <c r="BP56" t="s">
        <v>2554</v>
      </c>
      <c r="BQ56" t="s">
        <v>28</v>
      </c>
      <c r="BR56" t="s">
        <v>28</v>
      </c>
      <c r="BS56" t="s">
        <v>28</v>
      </c>
      <c r="BT56" t="s">
        <v>28</v>
      </c>
      <c r="BU56" t="s">
        <v>2261</v>
      </c>
      <c r="BV56" t="s">
        <v>1567</v>
      </c>
      <c r="BW56" t="str">
        <f>HYPERLINK("https%3A%2F%2Fwww.webofscience.com%2Fwos%2Fwoscc%2Ffull-record%2FWOS:000460039900022","View Full Record in Web of Science")</f>
        <v>View Full Record in Web of Science</v>
      </c>
    </row>
    <row r="57" spans="1:75" x14ac:dyDescent="0.35">
      <c r="A57">
        <f>COUNTIF(Scopus!$E$2:$E$128,"="&amp;Tabelle6[[#This Row],[Article Title]])</f>
        <v>1</v>
      </c>
      <c r="B57">
        <v>1</v>
      </c>
      <c r="C57" s="1" t="s">
        <v>2148</v>
      </c>
      <c r="D57" t="s">
        <v>1321</v>
      </c>
      <c r="E57" t="s">
        <v>1545</v>
      </c>
      <c r="F57">
        <v>2019</v>
      </c>
      <c r="G57" t="s">
        <v>332</v>
      </c>
      <c r="H57" t="s">
        <v>28</v>
      </c>
      <c r="I57" t="s">
        <v>28</v>
      </c>
      <c r="J57" t="s">
        <v>28</v>
      </c>
      <c r="K57" t="s">
        <v>1546</v>
      </c>
      <c r="L57" t="s">
        <v>28</v>
      </c>
      <c r="M57" t="s">
        <v>28</v>
      </c>
      <c r="N57" t="s">
        <v>1547</v>
      </c>
      <c r="O57" t="s">
        <v>28</v>
      </c>
      <c r="P57" t="s">
        <v>28</v>
      </c>
      <c r="Q57" t="s">
        <v>2242</v>
      </c>
      <c r="R57" t="s">
        <v>34</v>
      </c>
      <c r="S57" t="s">
        <v>28</v>
      </c>
      <c r="T57" t="s">
        <v>28</v>
      </c>
      <c r="U57" t="s">
        <v>28</v>
      </c>
      <c r="V57" t="s">
        <v>28</v>
      </c>
      <c r="W57" t="s">
        <v>28</v>
      </c>
      <c r="X57" t="s">
        <v>2965</v>
      </c>
      <c r="Y57" t="s">
        <v>2966</v>
      </c>
      <c r="Z57" t="s">
        <v>2967</v>
      </c>
      <c r="AA57" t="s">
        <v>2968</v>
      </c>
      <c r="AB57" t="s">
        <v>28</v>
      </c>
      <c r="AC57" t="s">
        <v>2969</v>
      </c>
      <c r="AD57" t="s">
        <v>2970</v>
      </c>
      <c r="AE57" t="s">
        <v>1548</v>
      </c>
      <c r="AF57" t="s">
        <v>1549</v>
      </c>
      <c r="AG57" t="s">
        <v>28</v>
      </c>
      <c r="AH57" t="s">
        <v>28</v>
      </c>
      <c r="AI57" t="s">
        <v>28</v>
      </c>
      <c r="AJ57" t="s">
        <v>28</v>
      </c>
      <c r="AK57">
        <v>37</v>
      </c>
      <c r="AL57">
        <v>3</v>
      </c>
      <c r="AM57">
        <v>3</v>
      </c>
      <c r="AN57">
        <v>0</v>
      </c>
      <c r="AO57">
        <v>1</v>
      </c>
      <c r="AP57" t="s">
        <v>2632</v>
      </c>
      <c r="AQ57" t="s">
        <v>2511</v>
      </c>
      <c r="AR57" t="s">
        <v>2512</v>
      </c>
      <c r="AS57" t="s">
        <v>1550</v>
      </c>
      <c r="AT57" t="s">
        <v>1551</v>
      </c>
      <c r="AU57" t="s">
        <v>28</v>
      </c>
      <c r="AV57" t="s">
        <v>2971</v>
      </c>
      <c r="AW57" t="s">
        <v>2972</v>
      </c>
      <c r="AX57" t="s">
        <v>1552</v>
      </c>
      <c r="AY57">
        <v>24</v>
      </c>
      <c r="AZ57">
        <v>8</v>
      </c>
      <c r="BA57" t="s">
        <v>28</v>
      </c>
      <c r="BB57" t="s">
        <v>28</v>
      </c>
      <c r="BC57" t="s">
        <v>28</v>
      </c>
      <c r="BD57" t="s">
        <v>28</v>
      </c>
      <c r="BE57">
        <v>962</v>
      </c>
      <c r="BF57">
        <v>971</v>
      </c>
      <c r="BG57" t="s">
        <v>28</v>
      </c>
      <c r="BH57" t="s">
        <v>335</v>
      </c>
      <c r="BI57" t="str">
        <f>HYPERLINK("http://dx.doi.org/10.1111/tmi.13280","http://dx.doi.org/10.1111/tmi.13280")</f>
        <v>http://dx.doi.org/10.1111/tmi.13280</v>
      </c>
      <c r="BJ57" t="s">
        <v>28</v>
      </c>
      <c r="BK57" t="s">
        <v>2973</v>
      </c>
      <c r="BL57">
        <v>10</v>
      </c>
      <c r="BM57" t="s">
        <v>2974</v>
      </c>
      <c r="BN57" t="s">
        <v>2258</v>
      </c>
      <c r="BO57" t="s">
        <v>2974</v>
      </c>
      <c r="BP57" t="s">
        <v>2975</v>
      </c>
      <c r="BQ57">
        <v>31199546</v>
      </c>
      <c r="BR57" t="s">
        <v>2490</v>
      </c>
      <c r="BS57" t="s">
        <v>28</v>
      </c>
      <c r="BT57" t="s">
        <v>28</v>
      </c>
      <c r="BU57" t="s">
        <v>2261</v>
      </c>
      <c r="BV57" t="s">
        <v>1553</v>
      </c>
      <c r="BW57" t="str">
        <f>HYPERLINK("https%3A%2F%2Fwww.webofscience.com%2Fwos%2Fwoscc%2Ffull-record%2FWOS:000474062700001","View Full Record in Web of Science")</f>
        <v>View Full Record in Web of Science</v>
      </c>
    </row>
    <row r="58" spans="1:75" ht="21.5" customHeight="1" x14ac:dyDescent="0.35">
      <c r="A58">
        <f>COUNTIF(Scopus!$E$2:$E$128,"="&amp;Tabelle6[[#This Row],[Article Title]])</f>
        <v>0</v>
      </c>
      <c r="B58">
        <v>1</v>
      </c>
      <c r="C58" t="s">
        <v>2148</v>
      </c>
      <c r="D58" t="s">
        <v>1321</v>
      </c>
      <c r="E58" t="s">
        <v>3004</v>
      </c>
      <c r="F58">
        <v>2015</v>
      </c>
      <c r="G58" s="5" t="s">
        <v>3005</v>
      </c>
      <c r="H58" t="s">
        <v>28</v>
      </c>
      <c r="I58" t="s">
        <v>28</v>
      </c>
      <c r="J58" t="s">
        <v>28</v>
      </c>
      <c r="K58" t="s">
        <v>2172</v>
      </c>
      <c r="L58" t="s">
        <v>28</v>
      </c>
      <c r="M58" t="s">
        <v>28</v>
      </c>
      <c r="N58" t="s">
        <v>3006</v>
      </c>
      <c r="O58" t="s">
        <v>28</v>
      </c>
      <c r="P58" t="s">
        <v>28</v>
      </c>
      <c r="Q58" t="s">
        <v>2242</v>
      </c>
      <c r="R58" t="s">
        <v>34</v>
      </c>
      <c r="S58" t="s">
        <v>28</v>
      </c>
      <c r="T58" t="s">
        <v>28</v>
      </c>
      <c r="U58" t="s">
        <v>28</v>
      </c>
      <c r="V58" t="s">
        <v>28</v>
      </c>
      <c r="W58" t="s">
        <v>28</v>
      </c>
      <c r="X58" t="s">
        <v>3007</v>
      </c>
      <c r="Y58" t="s">
        <v>3008</v>
      </c>
      <c r="Z58" t="s">
        <v>3009</v>
      </c>
      <c r="AA58" t="s">
        <v>3010</v>
      </c>
      <c r="AB58" t="s">
        <v>28</v>
      </c>
      <c r="AC58" t="s">
        <v>3011</v>
      </c>
      <c r="AD58" t="s">
        <v>3012</v>
      </c>
      <c r="AE58" t="s">
        <v>28</v>
      </c>
      <c r="AF58" t="s">
        <v>28</v>
      </c>
      <c r="AG58" t="s">
        <v>3013</v>
      </c>
      <c r="AH58" t="s">
        <v>3014</v>
      </c>
      <c r="AI58" t="s">
        <v>3015</v>
      </c>
      <c r="AJ58" t="s">
        <v>28</v>
      </c>
      <c r="AK58">
        <v>41</v>
      </c>
      <c r="AL58">
        <v>8</v>
      </c>
      <c r="AM58">
        <v>8</v>
      </c>
      <c r="AN58">
        <v>0</v>
      </c>
      <c r="AO58">
        <v>19</v>
      </c>
      <c r="AP58" t="s">
        <v>2409</v>
      </c>
      <c r="AQ58" t="s">
        <v>2274</v>
      </c>
      <c r="AR58" t="s">
        <v>2410</v>
      </c>
      <c r="AS58" t="s">
        <v>28</v>
      </c>
      <c r="AT58" t="s">
        <v>3016</v>
      </c>
      <c r="AU58" t="s">
        <v>28</v>
      </c>
      <c r="AV58" t="s">
        <v>3017</v>
      </c>
      <c r="AW58" t="s">
        <v>3018</v>
      </c>
      <c r="AX58" t="s">
        <v>1988</v>
      </c>
      <c r="AY58">
        <v>3</v>
      </c>
      <c r="AZ58">
        <v>4</v>
      </c>
      <c r="BA58" t="s">
        <v>28</v>
      </c>
      <c r="BB58" t="s">
        <v>28</v>
      </c>
      <c r="BC58" t="s">
        <v>28</v>
      </c>
      <c r="BD58" t="s">
        <v>28</v>
      </c>
      <c r="BE58">
        <v>287</v>
      </c>
      <c r="BF58">
        <v>308</v>
      </c>
      <c r="BG58" t="s">
        <v>28</v>
      </c>
      <c r="BH58" t="s">
        <v>712</v>
      </c>
      <c r="BI58" t="str">
        <f>HYPERLINK("http://dx.doi.org/10.3390/systems3040287","http://dx.doi.org/10.3390/systems3040287")</f>
        <v>http://dx.doi.org/10.3390/systems3040287</v>
      </c>
      <c r="BJ58" t="s">
        <v>28</v>
      </c>
      <c r="BK58" t="s">
        <v>28</v>
      </c>
      <c r="BL58">
        <v>22</v>
      </c>
      <c r="BM58" t="s">
        <v>3019</v>
      </c>
      <c r="BN58" t="s">
        <v>2771</v>
      </c>
      <c r="BO58" t="s">
        <v>3020</v>
      </c>
      <c r="BP58" t="s">
        <v>3021</v>
      </c>
      <c r="BQ58" t="s">
        <v>28</v>
      </c>
      <c r="BR58" t="s">
        <v>3022</v>
      </c>
      <c r="BS58" t="s">
        <v>28</v>
      </c>
      <c r="BT58" t="s">
        <v>28</v>
      </c>
      <c r="BU58" t="s">
        <v>2261</v>
      </c>
      <c r="BV58" t="s">
        <v>3023</v>
      </c>
      <c r="BW58" t="str">
        <f>HYPERLINK("https%3A%2F%2Fwww.webofscience.com%2Fwos%2Fwoscc%2Ffull-record%2FWOS:000367794500006","View Full Record in Web of Science")</f>
        <v>View Full Record in Web of Science</v>
      </c>
    </row>
    <row r="59" spans="1:75" x14ac:dyDescent="0.35">
      <c r="A59">
        <f>COUNTIF(Scopus!$E$2:$E$128,"="&amp;Tabelle6[[#This Row],[Article Title]])</f>
        <v>1</v>
      </c>
      <c r="B59">
        <v>1</v>
      </c>
      <c r="C59" s="1" t="s">
        <v>2148</v>
      </c>
      <c r="D59" t="s">
        <v>1321</v>
      </c>
      <c r="E59" t="s">
        <v>1568</v>
      </c>
      <c r="F59">
        <v>2019</v>
      </c>
      <c r="G59" t="s">
        <v>380</v>
      </c>
      <c r="H59" t="s">
        <v>28</v>
      </c>
      <c r="I59" t="s">
        <v>28</v>
      </c>
      <c r="J59" t="s">
        <v>28</v>
      </c>
      <c r="K59" t="s">
        <v>1569</v>
      </c>
      <c r="L59" t="s">
        <v>28</v>
      </c>
      <c r="M59" t="s">
        <v>28</v>
      </c>
      <c r="N59" t="s">
        <v>1570</v>
      </c>
      <c r="O59" t="s">
        <v>28</v>
      </c>
      <c r="P59" t="s">
        <v>28</v>
      </c>
      <c r="Q59" t="s">
        <v>2242</v>
      </c>
      <c r="R59" t="s">
        <v>34</v>
      </c>
      <c r="S59" t="s">
        <v>28</v>
      </c>
      <c r="T59" t="s">
        <v>28</v>
      </c>
      <c r="U59" t="s">
        <v>28</v>
      </c>
      <c r="V59" t="s">
        <v>28</v>
      </c>
      <c r="W59" t="s">
        <v>28</v>
      </c>
      <c r="X59" t="s">
        <v>3142</v>
      </c>
      <c r="Y59" t="s">
        <v>3143</v>
      </c>
      <c r="Z59" t="s">
        <v>3144</v>
      </c>
      <c r="AA59" t="s">
        <v>3145</v>
      </c>
      <c r="AB59" t="s">
        <v>28</v>
      </c>
      <c r="AC59" t="s">
        <v>3146</v>
      </c>
      <c r="AD59" t="s">
        <v>3147</v>
      </c>
      <c r="AE59" t="s">
        <v>3148</v>
      </c>
      <c r="AF59" t="s">
        <v>3149</v>
      </c>
      <c r="AG59" t="s">
        <v>3150</v>
      </c>
      <c r="AH59" t="s">
        <v>3151</v>
      </c>
      <c r="AI59" t="s">
        <v>3152</v>
      </c>
      <c r="AJ59" t="s">
        <v>28</v>
      </c>
      <c r="AK59">
        <v>43</v>
      </c>
      <c r="AL59">
        <v>30</v>
      </c>
      <c r="AM59">
        <v>31</v>
      </c>
      <c r="AN59">
        <v>5</v>
      </c>
      <c r="AO59">
        <v>23</v>
      </c>
      <c r="AP59" t="s">
        <v>2252</v>
      </c>
      <c r="AQ59" t="s">
        <v>2253</v>
      </c>
      <c r="AR59" t="s">
        <v>2254</v>
      </c>
      <c r="AS59" t="s">
        <v>1573</v>
      </c>
      <c r="AT59" t="s">
        <v>1574</v>
      </c>
      <c r="AU59" t="s">
        <v>28</v>
      </c>
      <c r="AV59" t="s">
        <v>3153</v>
      </c>
      <c r="AW59" t="s">
        <v>3154</v>
      </c>
      <c r="AX59" t="s">
        <v>1472</v>
      </c>
      <c r="AY59">
        <v>238</v>
      </c>
      <c r="AZ59" t="s">
        <v>28</v>
      </c>
      <c r="BA59" t="s">
        <v>28</v>
      </c>
      <c r="BB59" t="s">
        <v>28</v>
      </c>
      <c r="BC59" t="s">
        <v>28</v>
      </c>
      <c r="BD59" t="s">
        <v>28</v>
      </c>
      <c r="BE59">
        <v>1022</v>
      </c>
      <c r="BF59">
        <v>1035</v>
      </c>
      <c r="BG59" t="s">
        <v>28</v>
      </c>
      <c r="BH59" t="s">
        <v>382</v>
      </c>
      <c r="BI59" t="str">
        <f>HYPERLINK("http://dx.doi.org/10.1016/j.apenergy.2019.01.140","http://dx.doi.org/10.1016/j.apenergy.2019.01.140")</f>
        <v>http://dx.doi.org/10.1016/j.apenergy.2019.01.140</v>
      </c>
      <c r="BJ59" t="s">
        <v>28</v>
      </c>
      <c r="BK59" t="s">
        <v>28</v>
      </c>
      <c r="BL59">
        <v>14</v>
      </c>
      <c r="BM59" t="s">
        <v>3155</v>
      </c>
      <c r="BN59" t="s">
        <v>2258</v>
      </c>
      <c r="BO59" t="s">
        <v>3156</v>
      </c>
      <c r="BP59" t="s">
        <v>3157</v>
      </c>
      <c r="BQ59" t="s">
        <v>28</v>
      </c>
      <c r="BR59" t="s">
        <v>2438</v>
      </c>
      <c r="BS59" t="s">
        <v>28</v>
      </c>
      <c r="BT59" t="s">
        <v>28</v>
      </c>
      <c r="BU59" t="s">
        <v>2261</v>
      </c>
      <c r="BV59" t="s">
        <v>1575</v>
      </c>
      <c r="BW59" t="str">
        <f>HYPERLINK("https%3A%2F%2Fwww.webofscience.com%2Fwos%2Fwoscc%2Ffull-record%2FWOS:000461262300075","View Full Record in Web of Science")</f>
        <v>View Full Record in Web of Science</v>
      </c>
    </row>
    <row r="60" spans="1:75" x14ac:dyDescent="0.35">
      <c r="A60">
        <f>COUNTIF(Scopus!$E$2:$E$128,"="&amp;Tabelle6[[#This Row],[Article Title]])</f>
        <v>0</v>
      </c>
      <c r="B60">
        <v>3</v>
      </c>
      <c r="C60" s="1" t="s">
        <v>2149</v>
      </c>
      <c r="D60" t="s">
        <v>1417</v>
      </c>
      <c r="E60" t="s">
        <v>1646</v>
      </c>
      <c r="F60">
        <v>2018</v>
      </c>
      <c r="G60" t="s">
        <v>1649</v>
      </c>
      <c r="H60" t="s">
        <v>28</v>
      </c>
      <c r="I60" t="s">
        <v>28</v>
      </c>
      <c r="J60" t="s">
        <v>1647</v>
      </c>
      <c r="K60" t="s">
        <v>1648</v>
      </c>
      <c r="L60" t="s">
        <v>28</v>
      </c>
      <c r="M60" t="s">
        <v>28</v>
      </c>
      <c r="N60" t="s">
        <v>1650</v>
      </c>
      <c r="O60" t="s">
        <v>28</v>
      </c>
      <c r="P60" t="s">
        <v>28</v>
      </c>
      <c r="Q60" t="s">
        <v>2242</v>
      </c>
      <c r="R60" t="s">
        <v>2345</v>
      </c>
      <c r="S60" t="s">
        <v>1651</v>
      </c>
      <c r="T60" t="s">
        <v>1652</v>
      </c>
      <c r="U60" t="s">
        <v>1653</v>
      </c>
      <c r="V60" t="s">
        <v>3634</v>
      </c>
      <c r="W60" t="s">
        <v>28</v>
      </c>
      <c r="X60" t="s">
        <v>3635</v>
      </c>
      <c r="Y60" t="s">
        <v>28</v>
      </c>
      <c r="Z60" t="s">
        <v>3636</v>
      </c>
      <c r="AA60" t="s">
        <v>3637</v>
      </c>
      <c r="AB60" t="s">
        <v>28</v>
      </c>
      <c r="AC60" t="s">
        <v>3638</v>
      </c>
      <c r="AD60" t="s">
        <v>28</v>
      </c>
      <c r="AE60" t="s">
        <v>1571</v>
      </c>
      <c r="AF60" t="s">
        <v>1572</v>
      </c>
      <c r="AG60" t="s">
        <v>28</v>
      </c>
      <c r="AH60" t="s">
        <v>28</v>
      </c>
      <c r="AI60" t="s">
        <v>28</v>
      </c>
      <c r="AJ60" t="s">
        <v>28</v>
      </c>
      <c r="AK60">
        <v>8</v>
      </c>
      <c r="AL60">
        <v>0</v>
      </c>
      <c r="AM60">
        <v>0</v>
      </c>
      <c r="AN60">
        <v>0</v>
      </c>
      <c r="AO60">
        <v>3</v>
      </c>
      <c r="AP60" t="s">
        <v>2445</v>
      </c>
      <c r="AQ60" t="s">
        <v>2354</v>
      </c>
      <c r="AR60" t="s">
        <v>2446</v>
      </c>
      <c r="AS60" t="s">
        <v>28</v>
      </c>
      <c r="AT60" t="s">
        <v>28</v>
      </c>
      <c r="AU60" t="s">
        <v>1654</v>
      </c>
      <c r="AV60" t="s">
        <v>28</v>
      </c>
      <c r="AW60" t="s">
        <v>28</v>
      </c>
      <c r="AX60" t="s">
        <v>28</v>
      </c>
      <c r="AY60" t="s">
        <v>28</v>
      </c>
      <c r="AZ60" t="s">
        <v>28</v>
      </c>
      <c r="BA60" t="s">
        <v>28</v>
      </c>
      <c r="BB60" t="s">
        <v>28</v>
      </c>
      <c r="BC60" t="s">
        <v>28</v>
      </c>
      <c r="BD60" t="s">
        <v>28</v>
      </c>
      <c r="BE60">
        <v>585</v>
      </c>
      <c r="BF60">
        <v>587</v>
      </c>
      <c r="BG60" t="s">
        <v>28</v>
      </c>
      <c r="BH60" t="s">
        <v>28</v>
      </c>
      <c r="BI60" t="s">
        <v>28</v>
      </c>
      <c r="BJ60" t="s">
        <v>28</v>
      </c>
      <c r="BK60" t="s">
        <v>28</v>
      </c>
      <c r="BL60">
        <v>3</v>
      </c>
      <c r="BM60" t="s">
        <v>3639</v>
      </c>
      <c r="BN60" t="s">
        <v>2357</v>
      </c>
      <c r="BO60" t="s">
        <v>3640</v>
      </c>
      <c r="BP60" t="s">
        <v>3641</v>
      </c>
      <c r="BQ60" t="s">
        <v>28</v>
      </c>
      <c r="BR60" t="s">
        <v>28</v>
      </c>
      <c r="BS60" t="s">
        <v>28</v>
      </c>
      <c r="BT60" t="s">
        <v>28</v>
      </c>
      <c r="BU60" t="s">
        <v>2261</v>
      </c>
      <c r="BV60" t="s">
        <v>1655</v>
      </c>
      <c r="BW60" t="str">
        <f>HYPERLINK("https%3A%2F%2Fwww.webofscience.com%2Fwos%2Fwoscc%2Ffull-record%2FWOS:000468231300072","View Full Record in Web of Science")</f>
        <v>View Full Record in Web of Science</v>
      </c>
    </row>
    <row r="61" spans="1:75" ht="11.5" customHeight="1" x14ac:dyDescent="0.35">
      <c r="A61">
        <f>COUNTIF(Scopus!$E$2:$E$128,"="&amp;Tabelle6[[#This Row],[Article Title]])</f>
        <v>0</v>
      </c>
      <c r="B61">
        <v>3</v>
      </c>
      <c r="C61" s="1" t="s">
        <v>2149</v>
      </c>
      <c r="D61" t="s">
        <v>1321</v>
      </c>
      <c r="E61" t="s">
        <v>3546</v>
      </c>
      <c r="F61">
        <v>2014</v>
      </c>
      <c r="G61" s="5" t="s">
        <v>3548</v>
      </c>
      <c r="H61" t="s">
        <v>28</v>
      </c>
      <c r="I61" t="s">
        <v>28</v>
      </c>
      <c r="J61" t="s">
        <v>28</v>
      </c>
      <c r="K61" t="s">
        <v>3547</v>
      </c>
      <c r="L61" t="s">
        <v>28</v>
      </c>
      <c r="M61" t="s">
        <v>28</v>
      </c>
      <c r="N61" t="s">
        <v>3549</v>
      </c>
      <c r="O61" t="s">
        <v>28</v>
      </c>
      <c r="P61" t="s">
        <v>28</v>
      </c>
      <c r="Q61" t="s">
        <v>2242</v>
      </c>
      <c r="R61" t="s">
        <v>34</v>
      </c>
      <c r="S61" t="s">
        <v>28</v>
      </c>
      <c r="T61" t="s">
        <v>28</v>
      </c>
      <c r="U61" t="s">
        <v>28</v>
      </c>
      <c r="V61" t="s">
        <v>28</v>
      </c>
      <c r="W61" t="s">
        <v>28</v>
      </c>
      <c r="X61" t="s">
        <v>3550</v>
      </c>
      <c r="Y61" t="s">
        <v>28</v>
      </c>
      <c r="Z61" t="s">
        <v>3551</v>
      </c>
      <c r="AA61" t="s">
        <v>3552</v>
      </c>
      <c r="AB61" t="s">
        <v>28</v>
      </c>
      <c r="AC61" t="s">
        <v>3553</v>
      </c>
      <c r="AD61" t="s">
        <v>3554</v>
      </c>
      <c r="AE61" t="s">
        <v>3555</v>
      </c>
      <c r="AF61" t="s">
        <v>28</v>
      </c>
      <c r="AG61" t="s">
        <v>28</v>
      </c>
      <c r="AH61" t="s">
        <v>28</v>
      </c>
      <c r="AI61" t="s">
        <v>28</v>
      </c>
      <c r="AJ61" t="s">
        <v>28</v>
      </c>
      <c r="AK61">
        <v>35</v>
      </c>
      <c r="AL61">
        <v>3</v>
      </c>
      <c r="AM61">
        <v>3</v>
      </c>
      <c r="AN61">
        <v>0</v>
      </c>
      <c r="AO61">
        <v>1</v>
      </c>
      <c r="AP61" t="s">
        <v>3556</v>
      </c>
      <c r="AQ61" t="s">
        <v>3557</v>
      </c>
      <c r="AR61" t="s">
        <v>3558</v>
      </c>
      <c r="AS61" t="s">
        <v>3559</v>
      </c>
      <c r="AT61" t="s">
        <v>3560</v>
      </c>
      <c r="AU61" t="s">
        <v>28</v>
      </c>
      <c r="AV61" t="s">
        <v>3561</v>
      </c>
      <c r="AW61" t="s">
        <v>3562</v>
      </c>
      <c r="AX61" t="s">
        <v>28</v>
      </c>
      <c r="AY61">
        <v>8</v>
      </c>
      <c r="AZ61">
        <v>2</v>
      </c>
      <c r="BA61" t="s">
        <v>28</v>
      </c>
      <c r="BB61" t="s">
        <v>28</v>
      </c>
      <c r="BC61" t="s">
        <v>28</v>
      </c>
      <c r="BD61" t="s">
        <v>28</v>
      </c>
      <c r="BE61">
        <v>198</v>
      </c>
      <c r="BF61">
        <v>229</v>
      </c>
      <c r="BG61" t="s">
        <v>28</v>
      </c>
      <c r="BH61" t="s">
        <v>3563</v>
      </c>
      <c r="BI61" t="str">
        <f>HYPERLINK("http://dx.doi.org/10.1108/IJESM-02-2013-0004","http://dx.doi.org/10.1108/IJESM-02-2013-0004")</f>
        <v>http://dx.doi.org/10.1108/IJESM-02-2013-0004</v>
      </c>
      <c r="BJ61" t="s">
        <v>28</v>
      </c>
      <c r="BK61" t="s">
        <v>28</v>
      </c>
      <c r="BL61">
        <v>32</v>
      </c>
      <c r="BM61" t="s">
        <v>3564</v>
      </c>
      <c r="BN61" t="s">
        <v>2771</v>
      </c>
      <c r="BO61" t="s">
        <v>3565</v>
      </c>
      <c r="BP61" t="s">
        <v>3566</v>
      </c>
      <c r="BQ61" t="s">
        <v>28</v>
      </c>
      <c r="BR61" t="s">
        <v>28</v>
      </c>
      <c r="BS61" t="s">
        <v>28</v>
      </c>
      <c r="BT61" t="s">
        <v>28</v>
      </c>
      <c r="BU61" t="s">
        <v>2261</v>
      </c>
      <c r="BV61" t="s">
        <v>3567</v>
      </c>
      <c r="BW61" t="str">
        <f>HYPERLINK("https%3A%2F%2Fwww.webofscience.com%2Fwos%2Fwoscc%2Ffull-record%2FWOS:000214889300004","View Full Record in Web of Science")</f>
        <v>View Full Record in Web of Science</v>
      </c>
    </row>
    <row r="62" spans="1:75" x14ac:dyDescent="0.35">
      <c r="A62">
        <f>COUNTIF(Scopus!$E$2:$E$128,"="&amp;Tabelle6[[#This Row],[Article Title]])</f>
        <v>1</v>
      </c>
      <c r="B62">
        <v>1</v>
      </c>
      <c r="C62" s="1" t="s">
        <v>2148</v>
      </c>
      <c r="D62" t="s">
        <v>1321</v>
      </c>
      <c r="E62" t="s">
        <v>1817</v>
      </c>
      <c r="F62">
        <v>2015</v>
      </c>
      <c r="G62" t="s">
        <v>1819</v>
      </c>
      <c r="H62" t="s">
        <v>28</v>
      </c>
      <c r="I62" t="s">
        <v>28</v>
      </c>
      <c r="J62" t="s">
        <v>28</v>
      </c>
      <c r="K62" t="s">
        <v>1818</v>
      </c>
      <c r="L62" t="s">
        <v>28</v>
      </c>
      <c r="M62" t="s">
        <v>28</v>
      </c>
      <c r="N62" t="s">
        <v>1399</v>
      </c>
      <c r="O62" t="s">
        <v>28</v>
      </c>
      <c r="P62" t="s">
        <v>28</v>
      </c>
      <c r="Q62" t="s">
        <v>2242</v>
      </c>
      <c r="R62" t="s">
        <v>34</v>
      </c>
      <c r="S62" t="s">
        <v>28</v>
      </c>
      <c r="T62" t="s">
        <v>28</v>
      </c>
      <c r="U62" t="s">
        <v>28</v>
      </c>
      <c r="V62" t="s">
        <v>28</v>
      </c>
      <c r="W62" t="s">
        <v>28</v>
      </c>
      <c r="X62" t="s">
        <v>2400</v>
      </c>
      <c r="Y62" t="s">
        <v>2401</v>
      </c>
      <c r="Z62" t="s">
        <v>2402</v>
      </c>
      <c r="AA62" t="s">
        <v>2403</v>
      </c>
      <c r="AB62" t="s">
        <v>28</v>
      </c>
      <c r="AC62" t="s">
        <v>2404</v>
      </c>
      <c r="AD62" t="s">
        <v>2405</v>
      </c>
      <c r="AE62" t="s">
        <v>1820</v>
      </c>
      <c r="AF62" t="s">
        <v>1821</v>
      </c>
      <c r="AG62" t="s">
        <v>2406</v>
      </c>
      <c r="AH62" t="s">
        <v>2407</v>
      </c>
      <c r="AI62" t="s">
        <v>2408</v>
      </c>
      <c r="AJ62" t="s">
        <v>28</v>
      </c>
      <c r="AK62">
        <v>40</v>
      </c>
      <c r="AL62">
        <v>24</v>
      </c>
      <c r="AM62">
        <v>24</v>
      </c>
      <c r="AN62">
        <v>0</v>
      </c>
      <c r="AO62">
        <v>37</v>
      </c>
      <c r="AP62" t="s">
        <v>2409</v>
      </c>
      <c r="AQ62" t="s">
        <v>2274</v>
      </c>
      <c r="AR62" t="s">
        <v>2410</v>
      </c>
      <c r="AS62" t="s">
        <v>28</v>
      </c>
      <c r="AT62" t="s">
        <v>1400</v>
      </c>
      <c r="AU62" t="s">
        <v>28</v>
      </c>
      <c r="AV62" t="s">
        <v>2276</v>
      </c>
      <c r="AW62" t="s">
        <v>2277</v>
      </c>
      <c r="AX62" t="s">
        <v>1388</v>
      </c>
      <c r="AY62">
        <v>7</v>
      </c>
      <c r="AZ62">
        <v>7</v>
      </c>
      <c r="BA62" t="s">
        <v>28</v>
      </c>
      <c r="BB62" t="s">
        <v>28</v>
      </c>
      <c r="BC62" t="s">
        <v>28</v>
      </c>
      <c r="BD62" t="s">
        <v>28</v>
      </c>
      <c r="BE62">
        <v>3643</v>
      </c>
      <c r="BF62">
        <v>3670</v>
      </c>
      <c r="BG62" t="s">
        <v>28</v>
      </c>
      <c r="BH62" t="s">
        <v>783</v>
      </c>
      <c r="BI62" t="str">
        <f>HYPERLINK("http://dx.doi.org/10.3390/w7073643","http://dx.doi.org/10.3390/w7073643")</f>
        <v>http://dx.doi.org/10.3390/w7073643</v>
      </c>
      <c r="BJ62" t="s">
        <v>28</v>
      </c>
      <c r="BK62" t="s">
        <v>28</v>
      </c>
      <c r="BL62">
        <v>28</v>
      </c>
      <c r="BM62" t="s">
        <v>2278</v>
      </c>
      <c r="BN62" t="s">
        <v>2258</v>
      </c>
      <c r="BO62" t="s">
        <v>2279</v>
      </c>
      <c r="BP62" t="s">
        <v>2411</v>
      </c>
      <c r="BQ62" t="s">
        <v>28</v>
      </c>
      <c r="BR62" t="s">
        <v>2412</v>
      </c>
      <c r="BS62" t="s">
        <v>28</v>
      </c>
      <c r="BT62" t="s">
        <v>28</v>
      </c>
      <c r="BU62" t="s">
        <v>2261</v>
      </c>
      <c r="BV62" t="s">
        <v>1822</v>
      </c>
      <c r="BW62" t="str">
        <f>HYPERLINK("https%3A%2F%2Fwww.webofscience.com%2Fwos%2Fwoscc%2Ffull-record%2FWOS:000359898800023","View Full Record in Web of Science")</f>
        <v>View Full Record in Web of Science</v>
      </c>
    </row>
    <row r="63" spans="1:75" x14ac:dyDescent="0.35">
      <c r="A63">
        <f>COUNTIF(Scopus!$E$2:$E$128,"="&amp;Tabelle6[[#This Row],[Article Title]])</f>
        <v>0</v>
      </c>
      <c r="B63">
        <v>3</v>
      </c>
      <c r="C63" s="1" t="s">
        <v>2149</v>
      </c>
      <c r="D63" t="s">
        <v>1417</v>
      </c>
      <c r="E63" t="s">
        <v>2120</v>
      </c>
      <c r="F63">
        <v>2005</v>
      </c>
      <c r="G63" t="s">
        <v>2121</v>
      </c>
      <c r="H63" t="s">
        <v>28</v>
      </c>
      <c r="I63" t="s">
        <v>28</v>
      </c>
      <c r="J63" t="s">
        <v>1419</v>
      </c>
      <c r="K63" t="s">
        <v>2120</v>
      </c>
      <c r="L63" t="s">
        <v>28</v>
      </c>
      <c r="M63" t="s">
        <v>28</v>
      </c>
      <c r="N63" t="s">
        <v>2122</v>
      </c>
      <c r="O63" t="s">
        <v>2123</v>
      </c>
      <c r="P63" t="s">
        <v>28</v>
      </c>
      <c r="Q63" t="s">
        <v>2242</v>
      </c>
      <c r="R63" t="s">
        <v>2345</v>
      </c>
      <c r="S63" t="s">
        <v>2124</v>
      </c>
      <c r="T63" t="s">
        <v>2125</v>
      </c>
      <c r="U63" t="s">
        <v>2126</v>
      </c>
      <c r="V63" t="s">
        <v>2127</v>
      </c>
      <c r="W63" t="s">
        <v>28</v>
      </c>
      <c r="X63" t="s">
        <v>3773</v>
      </c>
      <c r="Y63" t="s">
        <v>28</v>
      </c>
      <c r="Z63" t="s">
        <v>3774</v>
      </c>
      <c r="AA63" t="s">
        <v>3775</v>
      </c>
      <c r="AB63" t="s">
        <v>28</v>
      </c>
      <c r="AC63" t="s">
        <v>3776</v>
      </c>
      <c r="AD63" t="s">
        <v>3777</v>
      </c>
      <c r="AE63" t="s">
        <v>28</v>
      </c>
      <c r="AF63" t="s">
        <v>2128</v>
      </c>
      <c r="AG63" t="s">
        <v>28</v>
      </c>
      <c r="AH63" t="s">
        <v>28</v>
      </c>
      <c r="AI63" t="s">
        <v>28</v>
      </c>
      <c r="AJ63" t="s">
        <v>28</v>
      </c>
      <c r="AK63">
        <v>13</v>
      </c>
      <c r="AL63">
        <v>3</v>
      </c>
      <c r="AM63">
        <v>3</v>
      </c>
      <c r="AN63">
        <v>0</v>
      </c>
      <c r="AO63">
        <v>0</v>
      </c>
      <c r="AP63" t="s">
        <v>1419</v>
      </c>
      <c r="AQ63" t="s">
        <v>2354</v>
      </c>
      <c r="AR63" t="s">
        <v>2691</v>
      </c>
      <c r="AS63" t="s">
        <v>2129</v>
      </c>
      <c r="AT63" t="s">
        <v>28</v>
      </c>
      <c r="AU63" t="s">
        <v>2130</v>
      </c>
      <c r="AV63" t="s">
        <v>3778</v>
      </c>
      <c r="AW63" t="s">
        <v>28</v>
      </c>
      <c r="AX63" t="s">
        <v>28</v>
      </c>
      <c r="AY63" t="s">
        <v>28</v>
      </c>
      <c r="AZ63" t="s">
        <v>28</v>
      </c>
      <c r="BA63" t="s">
        <v>28</v>
      </c>
      <c r="BB63" t="s">
        <v>28</v>
      </c>
      <c r="BC63" t="s">
        <v>28</v>
      </c>
      <c r="BD63" t="s">
        <v>28</v>
      </c>
      <c r="BE63">
        <v>3197</v>
      </c>
      <c r="BF63">
        <v>3203</v>
      </c>
      <c r="BG63" t="s">
        <v>28</v>
      </c>
      <c r="BH63" t="s">
        <v>28</v>
      </c>
      <c r="BI63" t="s">
        <v>28</v>
      </c>
      <c r="BJ63" t="s">
        <v>28</v>
      </c>
      <c r="BK63" t="s">
        <v>28</v>
      </c>
      <c r="BL63">
        <v>7</v>
      </c>
      <c r="BM63" t="s">
        <v>3779</v>
      </c>
      <c r="BN63" t="s">
        <v>2357</v>
      </c>
      <c r="BO63" t="s">
        <v>2315</v>
      </c>
      <c r="BP63" t="s">
        <v>3780</v>
      </c>
      <c r="BQ63" t="s">
        <v>28</v>
      </c>
      <c r="BR63" t="s">
        <v>28</v>
      </c>
      <c r="BS63" t="s">
        <v>28</v>
      </c>
      <c r="BT63" t="s">
        <v>28</v>
      </c>
      <c r="BU63" t="s">
        <v>2261</v>
      </c>
      <c r="BV63" t="s">
        <v>2131</v>
      </c>
      <c r="BW63" t="str">
        <f>HYPERLINK("https%3A%2F%2Fwww.webofscience.com%2Fwos%2Fwoscc%2Ffull-record%2FWOS:000235210803034","View Full Record in Web of Science")</f>
        <v>View Full Record in Web of Science</v>
      </c>
    </row>
    <row r="64" spans="1:75" x14ac:dyDescent="0.35">
      <c r="A64">
        <f>COUNTIF(Scopus!$E$2:$E$128,"="&amp;Tabelle6[[#This Row],[Article Title]])</f>
        <v>1</v>
      </c>
      <c r="B64">
        <v>1</v>
      </c>
      <c r="C64" s="1" t="s">
        <v>2148</v>
      </c>
      <c r="D64" t="s">
        <v>1321</v>
      </c>
      <c r="E64" t="s">
        <v>1510</v>
      </c>
      <c r="F64">
        <v>2016</v>
      </c>
      <c r="G64" t="s">
        <v>646</v>
      </c>
      <c r="H64" t="s">
        <v>28</v>
      </c>
      <c r="I64" t="s">
        <v>28</v>
      </c>
      <c r="J64" t="s">
        <v>28</v>
      </c>
      <c r="K64" t="s">
        <v>1511</v>
      </c>
      <c r="L64" t="s">
        <v>28</v>
      </c>
      <c r="M64" t="s">
        <v>28</v>
      </c>
      <c r="N64" t="s">
        <v>1623</v>
      </c>
      <c r="O64" t="s">
        <v>28</v>
      </c>
      <c r="P64" t="s">
        <v>28</v>
      </c>
      <c r="Q64" t="s">
        <v>2242</v>
      </c>
      <c r="R64" t="s">
        <v>34</v>
      </c>
      <c r="S64" t="s">
        <v>28</v>
      </c>
      <c r="T64" t="s">
        <v>28</v>
      </c>
      <c r="U64" t="s">
        <v>28</v>
      </c>
      <c r="V64" t="s">
        <v>28</v>
      </c>
      <c r="W64" t="s">
        <v>28</v>
      </c>
      <c r="X64" t="s">
        <v>651</v>
      </c>
      <c r="Y64" t="s">
        <v>2243</v>
      </c>
      <c r="Z64" t="s">
        <v>2244</v>
      </c>
      <c r="AA64" t="s">
        <v>2245</v>
      </c>
      <c r="AB64" t="s">
        <v>28</v>
      </c>
      <c r="AC64" t="s">
        <v>2246</v>
      </c>
      <c r="AD64" t="s">
        <v>2247</v>
      </c>
      <c r="AE64" t="s">
        <v>2248</v>
      </c>
      <c r="AF64" t="s">
        <v>1699</v>
      </c>
      <c r="AG64" t="s">
        <v>2249</v>
      </c>
      <c r="AH64" t="s">
        <v>2250</v>
      </c>
      <c r="AI64" t="s">
        <v>2251</v>
      </c>
      <c r="AJ64" t="s">
        <v>28</v>
      </c>
      <c r="AK64">
        <v>98</v>
      </c>
      <c r="AL64">
        <v>44</v>
      </c>
      <c r="AM64">
        <v>49</v>
      </c>
      <c r="AN64">
        <v>2</v>
      </c>
      <c r="AO64">
        <v>55</v>
      </c>
      <c r="AP64" t="s">
        <v>2252</v>
      </c>
      <c r="AQ64" t="s">
        <v>2253</v>
      </c>
      <c r="AR64" t="s">
        <v>2254</v>
      </c>
      <c r="AS64" t="s">
        <v>1624</v>
      </c>
      <c r="AT64" t="s">
        <v>1625</v>
      </c>
      <c r="AU64" t="s">
        <v>28</v>
      </c>
      <c r="AV64" t="s">
        <v>2255</v>
      </c>
      <c r="AW64" t="s">
        <v>2256</v>
      </c>
      <c r="AX64" t="s">
        <v>1559</v>
      </c>
      <c r="AY64">
        <v>79</v>
      </c>
      <c r="AZ64" t="s">
        <v>28</v>
      </c>
      <c r="BA64" t="s">
        <v>28</v>
      </c>
      <c r="BB64" t="s">
        <v>28</v>
      </c>
      <c r="BC64" t="s">
        <v>28</v>
      </c>
      <c r="BD64" t="s">
        <v>28</v>
      </c>
      <c r="BE64">
        <v>35</v>
      </c>
      <c r="BF64">
        <v>54</v>
      </c>
      <c r="BG64" t="s">
        <v>28</v>
      </c>
      <c r="BH64" t="s">
        <v>648</v>
      </c>
      <c r="BI64" t="str">
        <f>HYPERLINK("http://dx.doi.org/10.1016/j.envsoft.2016.01.005","http://dx.doi.org/10.1016/j.envsoft.2016.01.005")</f>
        <v>http://dx.doi.org/10.1016/j.envsoft.2016.01.005</v>
      </c>
      <c r="BJ64" t="s">
        <v>28</v>
      </c>
      <c r="BK64" t="s">
        <v>28</v>
      </c>
      <c r="BL64">
        <v>20</v>
      </c>
      <c r="BM64" t="s">
        <v>2257</v>
      </c>
      <c r="BN64" t="s">
        <v>2258</v>
      </c>
      <c r="BO64" t="s">
        <v>2259</v>
      </c>
      <c r="BP64" t="s">
        <v>2260</v>
      </c>
      <c r="BQ64" t="s">
        <v>28</v>
      </c>
      <c r="BR64" t="s">
        <v>28</v>
      </c>
      <c r="BS64" t="s">
        <v>28</v>
      </c>
      <c r="BT64" t="s">
        <v>28</v>
      </c>
      <c r="BU64" t="s">
        <v>2261</v>
      </c>
      <c r="BV64" t="s">
        <v>1744</v>
      </c>
      <c r="BW64" t="str">
        <f>HYPERLINK("https%3A%2F%2Fwww.webofscience.com%2Fwos%2Fwoscc%2Ffull-record%2FWOS:000374602000004","View Full Record in Web of Science")</f>
        <v>View Full Record in Web of Science</v>
      </c>
    </row>
    <row r="65" spans="1:75" x14ac:dyDescent="0.35">
      <c r="A65">
        <f>COUNTIF(Scopus!$E$2:$E$128,"="&amp;Tabelle6[[#This Row],[Article Title]])</f>
        <v>1</v>
      </c>
      <c r="B65">
        <v>1</v>
      </c>
      <c r="C65" s="1" t="s">
        <v>2148</v>
      </c>
      <c r="D65" t="s">
        <v>1321</v>
      </c>
      <c r="E65" t="s">
        <v>1510</v>
      </c>
      <c r="F65">
        <v>2017</v>
      </c>
      <c r="G65" t="s">
        <v>580</v>
      </c>
      <c r="H65" t="s">
        <v>28</v>
      </c>
      <c r="I65" t="s">
        <v>28</v>
      </c>
      <c r="J65" t="s">
        <v>28</v>
      </c>
      <c r="K65" t="s">
        <v>1511</v>
      </c>
      <c r="L65" t="s">
        <v>28</v>
      </c>
      <c r="M65" t="s">
        <v>28</v>
      </c>
      <c r="N65" t="s">
        <v>1698</v>
      </c>
      <c r="O65" t="s">
        <v>28</v>
      </c>
      <c r="P65" t="s">
        <v>28</v>
      </c>
      <c r="Q65" t="s">
        <v>2242</v>
      </c>
      <c r="R65" t="s">
        <v>34</v>
      </c>
      <c r="S65" t="s">
        <v>28</v>
      </c>
      <c r="T65" t="s">
        <v>28</v>
      </c>
      <c r="U65" t="s">
        <v>28</v>
      </c>
      <c r="V65" t="s">
        <v>28</v>
      </c>
      <c r="W65" t="s">
        <v>28</v>
      </c>
      <c r="X65" t="s">
        <v>2360</v>
      </c>
      <c r="Y65" t="s">
        <v>2361</v>
      </c>
      <c r="Z65" t="s">
        <v>2362</v>
      </c>
      <c r="AA65" t="s">
        <v>2363</v>
      </c>
      <c r="AB65" t="s">
        <v>28</v>
      </c>
      <c r="AC65" t="s">
        <v>2364</v>
      </c>
      <c r="AD65" t="s">
        <v>2365</v>
      </c>
      <c r="AE65" t="s">
        <v>2248</v>
      </c>
      <c r="AF65" t="s">
        <v>1699</v>
      </c>
      <c r="AG65" t="s">
        <v>2366</v>
      </c>
      <c r="AH65" t="s">
        <v>2367</v>
      </c>
      <c r="AI65" t="s">
        <v>2368</v>
      </c>
      <c r="AJ65" t="s">
        <v>28</v>
      </c>
      <c r="AK65">
        <v>38</v>
      </c>
      <c r="AL65">
        <v>6</v>
      </c>
      <c r="AM65">
        <v>6</v>
      </c>
      <c r="AN65">
        <v>0</v>
      </c>
      <c r="AO65">
        <v>18</v>
      </c>
      <c r="AP65" t="s">
        <v>2369</v>
      </c>
      <c r="AQ65" t="s">
        <v>2309</v>
      </c>
      <c r="AR65" t="s">
        <v>2370</v>
      </c>
      <c r="AS65" t="s">
        <v>1700</v>
      </c>
      <c r="AT65" t="s">
        <v>28</v>
      </c>
      <c r="AU65" t="s">
        <v>28</v>
      </c>
      <c r="AV65" t="s">
        <v>2371</v>
      </c>
      <c r="AW65" t="s">
        <v>2372</v>
      </c>
      <c r="AX65" t="s">
        <v>1701</v>
      </c>
      <c r="AY65">
        <v>17</v>
      </c>
      <c r="AZ65">
        <v>2</v>
      </c>
      <c r="BA65" t="s">
        <v>28</v>
      </c>
      <c r="BB65" t="s">
        <v>28</v>
      </c>
      <c r="BC65" t="s">
        <v>28</v>
      </c>
      <c r="BD65" t="s">
        <v>28</v>
      </c>
      <c r="BE65">
        <v>552</v>
      </c>
      <c r="BF65">
        <v>560</v>
      </c>
      <c r="BG65" t="s">
        <v>28</v>
      </c>
      <c r="BH65" t="s">
        <v>583</v>
      </c>
      <c r="BI65" t="str">
        <f>HYPERLINK("http://dx.doi.org/10.2166/ws.2016.161","http://dx.doi.org/10.2166/ws.2016.161")</f>
        <v>http://dx.doi.org/10.2166/ws.2016.161</v>
      </c>
      <c r="BJ65" t="s">
        <v>28</v>
      </c>
      <c r="BK65" t="s">
        <v>28</v>
      </c>
      <c r="BL65">
        <v>9</v>
      </c>
      <c r="BM65" t="s">
        <v>2373</v>
      </c>
      <c r="BN65" t="s">
        <v>2258</v>
      </c>
      <c r="BO65" t="s">
        <v>2358</v>
      </c>
      <c r="BP65" t="s">
        <v>2374</v>
      </c>
      <c r="BQ65" t="s">
        <v>28</v>
      </c>
      <c r="BR65" t="s">
        <v>28</v>
      </c>
      <c r="BS65" t="s">
        <v>28</v>
      </c>
      <c r="BT65" t="s">
        <v>28</v>
      </c>
      <c r="BU65" t="s">
        <v>2261</v>
      </c>
      <c r="BV65" t="s">
        <v>1702</v>
      </c>
      <c r="BW65" t="str">
        <f>HYPERLINK("https%3A%2F%2Fwww.webofscience.com%2Fwos%2Fwoscc%2Ffull-record%2FWOS:000398000000023","View Full Record in Web of Science")</f>
        <v>View Full Record in Web of Science</v>
      </c>
    </row>
    <row r="66" spans="1:75" x14ac:dyDescent="0.35">
      <c r="A66">
        <f>COUNTIF(Scopus!$E$2:$E$128,"="&amp;Tabelle6[[#This Row],[Article Title]])</f>
        <v>1</v>
      </c>
      <c r="B66">
        <v>1</v>
      </c>
      <c r="C66" s="1" t="s">
        <v>2148</v>
      </c>
      <c r="D66" t="s">
        <v>1321</v>
      </c>
      <c r="E66" t="s">
        <v>1510</v>
      </c>
      <c r="F66">
        <v>2019</v>
      </c>
      <c r="G66" t="s">
        <v>1512</v>
      </c>
      <c r="H66" t="s">
        <v>28</v>
      </c>
      <c r="I66" t="s">
        <v>28</v>
      </c>
      <c r="J66" t="s">
        <v>28</v>
      </c>
      <c r="K66" t="s">
        <v>1511</v>
      </c>
      <c r="L66" t="s">
        <v>28</v>
      </c>
      <c r="M66" t="s">
        <v>28</v>
      </c>
      <c r="N66" t="s">
        <v>1399</v>
      </c>
      <c r="O66" t="s">
        <v>28</v>
      </c>
      <c r="P66" t="s">
        <v>28</v>
      </c>
      <c r="Q66" t="s">
        <v>2242</v>
      </c>
      <c r="R66" t="s">
        <v>34</v>
      </c>
      <c r="S66" t="s">
        <v>28</v>
      </c>
      <c r="T66" t="s">
        <v>28</v>
      </c>
      <c r="U66" t="s">
        <v>28</v>
      </c>
      <c r="V66" t="s">
        <v>28</v>
      </c>
      <c r="W66" t="s">
        <v>28</v>
      </c>
      <c r="X66" t="s">
        <v>2591</v>
      </c>
      <c r="Y66" t="s">
        <v>2592</v>
      </c>
      <c r="Z66" t="s">
        <v>2593</v>
      </c>
      <c r="AA66" t="s">
        <v>2594</v>
      </c>
      <c r="AB66" t="s">
        <v>28</v>
      </c>
      <c r="AC66" t="s">
        <v>2595</v>
      </c>
      <c r="AD66" t="s">
        <v>2247</v>
      </c>
      <c r="AE66" t="s">
        <v>1513</v>
      </c>
      <c r="AF66" t="s">
        <v>1514</v>
      </c>
      <c r="AG66" t="s">
        <v>2596</v>
      </c>
      <c r="AH66" t="s">
        <v>2597</v>
      </c>
      <c r="AI66" t="s">
        <v>2598</v>
      </c>
      <c r="AJ66" t="s">
        <v>28</v>
      </c>
      <c r="AK66">
        <v>45</v>
      </c>
      <c r="AL66">
        <v>4</v>
      </c>
      <c r="AM66">
        <v>4</v>
      </c>
      <c r="AN66">
        <v>2</v>
      </c>
      <c r="AO66">
        <v>7</v>
      </c>
      <c r="AP66" t="s">
        <v>2409</v>
      </c>
      <c r="AQ66" t="s">
        <v>2274</v>
      </c>
      <c r="AR66" t="s">
        <v>2410</v>
      </c>
      <c r="AS66" t="s">
        <v>28</v>
      </c>
      <c r="AT66" t="s">
        <v>1400</v>
      </c>
      <c r="AU66" t="s">
        <v>28</v>
      </c>
      <c r="AV66" t="s">
        <v>2276</v>
      </c>
      <c r="AW66" t="s">
        <v>2277</v>
      </c>
      <c r="AX66" t="s">
        <v>1437</v>
      </c>
      <c r="AY66">
        <v>11</v>
      </c>
      <c r="AZ66">
        <v>11</v>
      </c>
      <c r="BA66" t="s">
        <v>28</v>
      </c>
      <c r="BB66" t="s">
        <v>28</v>
      </c>
      <c r="BC66" t="s">
        <v>28</v>
      </c>
      <c r="BD66" t="s">
        <v>28</v>
      </c>
      <c r="BE66" t="s">
        <v>28</v>
      </c>
      <c r="BF66" t="s">
        <v>28</v>
      </c>
      <c r="BG66">
        <v>2216</v>
      </c>
      <c r="BH66" t="s">
        <v>312</v>
      </c>
      <c r="BI66" t="str">
        <f>HYPERLINK("http://dx.doi.org/10.3390/w11112216","http://dx.doi.org/10.3390/w11112216")</f>
        <v>http://dx.doi.org/10.3390/w11112216</v>
      </c>
      <c r="BJ66" t="s">
        <v>28</v>
      </c>
      <c r="BK66" t="s">
        <v>28</v>
      </c>
      <c r="BL66">
        <v>14</v>
      </c>
      <c r="BM66" t="s">
        <v>2278</v>
      </c>
      <c r="BN66" t="s">
        <v>2258</v>
      </c>
      <c r="BO66" t="s">
        <v>2279</v>
      </c>
      <c r="BP66" t="s">
        <v>2599</v>
      </c>
      <c r="BQ66" t="s">
        <v>28</v>
      </c>
      <c r="BR66" t="s">
        <v>2390</v>
      </c>
      <c r="BS66" t="s">
        <v>28</v>
      </c>
      <c r="BT66" t="s">
        <v>28</v>
      </c>
      <c r="BU66" t="s">
        <v>2261</v>
      </c>
      <c r="BV66" t="s">
        <v>1515</v>
      </c>
      <c r="BW66" t="str">
        <f>HYPERLINK("https%3A%2F%2Fwww.webofscience.com%2Fwos%2Fwoscc%2Ffull-record%2FWOS:000502264500018","View Full Record in Web of Science")</f>
        <v>View Full Record in Web of Science</v>
      </c>
    </row>
    <row r="67" spans="1:75" x14ac:dyDescent="0.35">
      <c r="A67">
        <f>COUNTIF(Scopus!$E$2:$E$128,"="&amp;Tabelle6[[#This Row],[Article Title]])</f>
        <v>0</v>
      </c>
      <c r="B67">
        <v>3</v>
      </c>
      <c r="C67" s="1" t="s">
        <v>2149</v>
      </c>
      <c r="D67" t="s">
        <v>1321</v>
      </c>
      <c r="E67" t="s">
        <v>1350</v>
      </c>
      <c r="F67">
        <v>2021</v>
      </c>
      <c r="G67" t="s">
        <v>1352</v>
      </c>
      <c r="H67" t="s">
        <v>28</v>
      </c>
      <c r="I67" t="s">
        <v>28</v>
      </c>
      <c r="J67" t="s">
        <v>28</v>
      </c>
      <c r="K67" t="s">
        <v>1351</v>
      </c>
      <c r="L67" t="s">
        <v>28</v>
      </c>
      <c r="M67" t="s">
        <v>28</v>
      </c>
      <c r="N67" t="s">
        <v>1353</v>
      </c>
      <c r="O67" t="s">
        <v>28</v>
      </c>
      <c r="P67" t="s">
        <v>28</v>
      </c>
      <c r="Q67" t="s">
        <v>2242</v>
      </c>
      <c r="R67" t="s">
        <v>34</v>
      </c>
      <c r="S67" t="s">
        <v>28</v>
      </c>
      <c r="T67" t="s">
        <v>28</v>
      </c>
      <c r="U67" t="s">
        <v>28</v>
      </c>
      <c r="V67" t="s">
        <v>28</v>
      </c>
      <c r="W67" t="s">
        <v>28</v>
      </c>
      <c r="X67" t="s">
        <v>3945</v>
      </c>
      <c r="Y67" t="s">
        <v>28</v>
      </c>
      <c r="Z67" t="s">
        <v>3946</v>
      </c>
      <c r="AA67" t="s">
        <v>3947</v>
      </c>
      <c r="AB67" t="s">
        <v>28</v>
      </c>
      <c r="AC67" t="s">
        <v>3948</v>
      </c>
      <c r="AD67" t="s">
        <v>3949</v>
      </c>
      <c r="AE67" t="s">
        <v>28</v>
      </c>
      <c r="AF67" t="s">
        <v>1354</v>
      </c>
      <c r="AG67" t="s">
        <v>3950</v>
      </c>
      <c r="AH67" t="s">
        <v>3951</v>
      </c>
      <c r="AI67" t="s">
        <v>3952</v>
      </c>
      <c r="AJ67" t="s">
        <v>28</v>
      </c>
      <c r="AK67">
        <v>31</v>
      </c>
      <c r="AL67">
        <v>0</v>
      </c>
      <c r="AM67">
        <v>0</v>
      </c>
      <c r="AN67">
        <v>5</v>
      </c>
      <c r="AO67">
        <v>9</v>
      </c>
      <c r="AP67" t="s">
        <v>2293</v>
      </c>
      <c r="AQ67" t="s">
        <v>2294</v>
      </c>
      <c r="AR67" t="s">
        <v>2295</v>
      </c>
      <c r="AS67" t="s">
        <v>1355</v>
      </c>
      <c r="AT67" t="s">
        <v>28</v>
      </c>
      <c r="AU67" t="s">
        <v>28</v>
      </c>
      <c r="AV67" t="s">
        <v>3953</v>
      </c>
      <c r="AW67" t="s">
        <v>3954</v>
      </c>
      <c r="AX67" t="s">
        <v>1356</v>
      </c>
      <c r="AY67">
        <v>63</v>
      </c>
      <c r="AZ67" t="s">
        <v>28</v>
      </c>
      <c r="BA67" t="s">
        <v>28</v>
      </c>
      <c r="BB67" t="s">
        <v>28</v>
      </c>
      <c r="BC67" t="s">
        <v>28</v>
      </c>
      <c r="BD67" t="s">
        <v>28</v>
      </c>
      <c r="BE67" t="s">
        <v>28</v>
      </c>
      <c r="BF67" t="s">
        <v>28</v>
      </c>
      <c r="BG67">
        <v>102437</v>
      </c>
      <c r="BH67" t="s">
        <v>1357</v>
      </c>
      <c r="BI67" t="str">
        <f>HYPERLINK("http://dx.doi.org/10.1016/j.ijdrr.2021.102437","http://dx.doi.org/10.1016/j.ijdrr.2021.102437")</f>
        <v>http://dx.doi.org/10.1016/j.ijdrr.2021.102437</v>
      </c>
      <c r="BJ67" t="s">
        <v>28</v>
      </c>
      <c r="BK67" t="s">
        <v>2881</v>
      </c>
      <c r="BL67">
        <v>12</v>
      </c>
      <c r="BM67" t="s">
        <v>3955</v>
      </c>
      <c r="BN67" t="s">
        <v>2314</v>
      </c>
      <c r="BO67" t="s">
        <v>3956</v>
      </c>
      <c r="BP67" t="s">
        <v>3957</v>
      </c>
      <c r="BQ67" t="s">
        <v>28</v>
      </c>
      <c r="BR67" t="s">
        <v>28</v>
      </c>
      <c r="BS67" t="s">
        <v>28</v>
      </c>
      <c r="BT67" t="s">
        <v>28</v>
      </c>
      <c r="BU67" t="s">
        <v>2261</v>
      </c>
      <c r="BV67" t="s">
        <v>1358</v>
      </c>
      <c r="BW67" t="str">
        <f>HYPERLINK("https%3A%2F%2Fwww.webofscience.com%2Fwos%2Fwoscc%2Ffull-record%2FWOS:000688624600006","View Full Record in Web of Science")</f>
        <v>View Full Record in Web of Science</v>
      </c>
    </row>
    <row r="68" spans="1:75" x14ac:dyDescent="0.35">
      <c r="A68">
        <f>COUNTIF(Scopus!$E$2:$E$128,"="&amp;Tabelle6[[#This Row],[Article Title]])</f>
        <v>1</v>
      </c>
      <c r="B68">
        <v>1</v>
      </c>
      <c r="C68" s="1" t="s">
        <v>2148</v>
      </c>
      <c r="D68" t="s">
        <v>1417</v>
      </c>
      <c r="E68" t="s">
        <v>1726</v>
      </c>
      <c r="F68">
        <v>2017</v>
      </c>
      <c r="G68" t="s">
        <v>1728</v>
      </c>
      <c r="H68" t="s">
        <v>28</v>
      </c>
      <c r="I68" t="s">
        <v>28</v>
      </c>
      <c r="J68" t="s">
        <v>1647</v>
      </c>
      <c r="K68" t="s">
        <v>1727</v>
      </c>
      <c r="L68" t="s">
        <v>28</v>
      </c>
      <c r="M68" t="s">
        <v>28</v>
      </c>
      <c r="N68" t="s">
        <v>1729</v>
      </c>
      <c r="O68" t="s">
        <v>28</v>
      </c>
      <c r="P68" t="s">
        <v>28</v>
      </c>
      <c r="Q68" t="s">
        <v>2242</v>
      </c>
      <c r="R68" t="s">
        <v>2345</v>
      </c>
      <c r="S68" t="s">
        <v>1730</v>
      </c>
      <c r="T68" t="s">
        <v>1731</v>
      </c>
      <c r="U68" t="s">
        <v>1732</v>
      </c>
      <c r="V68" t="s">
        <v>2531</v>
      </c>
      <c r="W68" t="s">
        <v>1733</v>
      </c>
      <c r="X68" t="s">
        <v>2532</v>
      </c>
      <c r="Y68" t="s">
        <v>28</v>
      </c>
      <c r="Z68" t="s">
        <v>2533</v>
      </c>
      <c r="AA68" t="s">
        <v>2534</v>
      </c>
      <c r="AB68" t="s">
        <v>28</v>
      </c>
      <c r="AC68" t="s">
        <v>2535</v>
      </c>
      <c r="AD68" t="s">
        <v>2536</v>
      </c>
      <c r="AE68" t="s">
        <v>1734</v>
      </c>
      <c r="AF68" t="s">
        <v>28</v>
      </c>
      <c r="AG68" t="s">
        <v>2537</v>
      </c>
      <c r="AH68" t="s">
        <v>2538</v>
      </c>
      <c r="AI68" t="s">
        <v>2539</v>
      </c>
      <c r="AJ68" t="s">
        <v>28</v>
      </c>
      <c r="AK68">
        <v>15</v>
      </c>
      <c r="AL68">
        <v>7</v>
      </c>
      <c r="AM68">
        <v>7</v>
      </c>
      <c r="AN68">
        <v>1</v>
      </c>
      <c r="AO68">
        <v>24</v>
      </c>
      <c r="AP68" t="s">
        <v>2445</v>
      </c>
      <c r="AQ68" t="s">
        <v>2354</v>
      </c>
      <c r="AR68" t="s">
        <v>2446</v>
      </c>
      <c r="AS68" t="s">
        <v>28</v>
      </c>
      <c r="AT68" t="s">
        <v>28</v>
      </c>
      <c r="AU68" t="s">
        <v>1735</v>
      </c>
      <c r="AV68" t="s">
        <v>28</v>
      </c>
      <c r="AW68" t="s">
        <v>28</v>
      </c>
      <c r="AX68" t="s">
        <v>28</v>
      </c>
      <c r="AY68" t="s">
        <v>28</v>
      </c>
      <c r="AZ68" t="s">
        <v>28</v>
      </c>
      <c r="BA68" t="s">
        <v>28</v>
      </c>
      <c r="BB68" t="s">
        <v>28</v>
      </c>
      <c r="BC68" t="s">
        <v>28</v>
      </c>
      <c r="BD68" t="s">
        <v>28</v>
      </c>
      <c r="BE68">
        <v>105</v>
      </c>
      <c r="BF68">
        <v>110</v>
      </c>
      <c r="BG68" t="s">
        <v>28</v>
      </c>
      <c r="BH68" t="s">
        <v>563</v>
      </c>
      <c r="BI68" t="str">
        <f>HYPERLINK("http://dx.doi.org/10.1145/3126973.3126991","http://dx.doi.org/10.1145/3126973.3126991")</f>
        <v>http://dx.doi.org/10.1145/3126973.3126991</v>
      </c>
      <c r="BJ68" t="s">
        <v>28</v>
      </c>
      <c r="BK68" t="s">
        <v>28</v>
      </c>
      <c r="BL68">
        <v>6</v>
      </c>
      <c r="BM68" t="s">
        <v>2540</v>
      </c>
      <c r="BN68" t="s">
        <v>2357</v>
      </c>
      <c r="BO68" t="s">
        <v>2315</v>
      </c>
      <c r="BP68" t="s">
        <v>2541</v>
      </c>
      <c r="BQ68" t="s">
        <v>28</v>
      </c>
      <c r="BR68" t="s">
        <v>28</v>
      </c>
      <c r="BS68" t="s">
        <v>28</v>
      </c>
      <c r="BT68" t="s">
        <v>28</v>
      </c>
      <c r="BU68" t="s">
        <v>2261</v>
      </c>
      <c r="BV68" t="s">
        <v>1736</v>
      </c>
      <c r="BW68" t="str">
        <f>HYPERLINK("https%3A%2F%2Fwww.webofscience.com%2Fwos%2Fwoscc%2Ffull-record%2FWOS:000426574900018","View Full Record in Web of Science")</f>
        <v>View Full Record in Web of Science</v>
      </c>
    </row>
    <row r="69" spans="1:75" x14ac:dyDescent="0.35">
      <c r="A69">
        <f>COUNTIF(Scopus!$E$2:$E$128,"="&amp;Tabelle6[[#This Row],[Article Title]])</f>
        <v>1</v>
      </c>
      <c r="B69">
        <v>1</v>
      </c>
      <c r="C69" s="1" t="s">
        <v>2148</v>
      </c>
      <c r="D69" t="s">
        <v>1321</v>
      </c>
      <c r="E69" t="s">
        <v>3258</v>
      </c>
      <c r="F69">
        <v>2022</v>
      </c>
      <c r="G69" t="s">
        <v>50</v>
      </c>
      <c r="H69" t="s">
        <v>28</v>
      </c>
      <c r="I69" t="s">
        <v>28</v>
      </c>
      <c r="J69" t="s">
        <v>28</v>
      </c>
      <c r="K69" t="s">
        <v>3259</v>
      </c>
      <c r="L69" t="s">
        <v>28</v>
      </c>
      <c r="M69" t="s">
        <v>28</v>
      </c>
      <c r="N69" t="s">
        <v>1570</v>
      </c>
      <c r="O69" t="s">
        <v>28</v>
      </c>
      <c r="P69" t="s">
        <v>28</v>
      </c>
      <c r="Q69" t="s">
        <v>2242</v>
      </c>
      <c r="R69" t="s">
        <v>34</v>
      </c>
      <c r="S69" t="s">
        <v>28</v>
      </c>
      <c r="T69" t="s">
        <v>28</v>
      </c>
      <c r="U69" t="s">
        <v>28</v>
      </c>
      <c r="V69" t="s">
        <v>28</v>
      </c>
      <c r="W69" t="s">
        <v>28</v>
      </c>
      <c r="X69" t="s">
        <v>3260</v>
      </c>
      <c r="Y69" t="s">
        <v>3261</v>
      </c>
      <c r="Z69" t="s">
        <v>3262</v>
      </c>
      <c r="AA69" t="s">
        <v>3263</v>
      </c>
      <c r="AB69" t="s">
        <v>28</v>
      </c>
      <c r="AC69" t="s">
        <v>3264</v>
      </c>
      <c r="AD69" t="s">
        <v>3265</v>
      </c>
      <c r="AE69" t="s">
        <v>3266</v>
      </c>
      <c r="AF69" t="s">
        <v>3267</v>
      </c>
      <c r="AG69" t="s">
        <v>3268</v>
      </c>
      <c r="AH69" t="s">
        <v>3269</v>
      </c>
      <c r="AI69" t="s">
        <v>3270</v>
      </c>
      <c r="AJ69" t="s">
        <v>28</v>
      </c>
      <c r="AK69">
        <v>54</v>
      </c>
      <c r="AL69">
        <v>1</v>
      </c>
      <c r="AM69">
        <v>1</v>
      </c>
      <c r="AN69">
        <v>11</v>
      </c>
      <c r="AO69">
        <v>11</v>
      </c>
      <c r="AP69" t="s">
        <v>2252</v>
      </c>
      <c r="AQ69" t="s">
        <v>2253</v>
      </c>
      <c r="AR69" t="s">
        <v>2254</v>
      </c>
      <c r="AS69" t="s">
        <v>1573</v>
      </c>
      <c r="AT69" t="s">
        <v>1574</v>
      </c>
      <c r="AU69" t="s">
        <v>28</v>
      </c>
      <c r="AV69" t="s">
        <v>3153</v>
      </c>
      <c r="AW69" t="s">
        <v>3154</v>
      </c>
      <c r="AX69" t="s">
        <v>3271</v>
      </c>
      <c r="AY69">
        <v>308</v>
      </c>
      <c r="AZ69" t="s">
        <v>28</v>
      </c>
      <c r="BA69" t="s">
        <v>28</v>
      </c>
      <c r="BB69" t="s">
        <v>28</v>
      </c>
      <c r="BC69" t="s">
        <v>28</v>
      </c>
      <c r="BD69" t="s">
        <v>28</v>
      </c>
      <c r="BE69" t="s">
        <v>28</v>
      </c>
      <c r="BF69" t="s">
        <v>28</v>
      </c>
      <c r="BG69">
        <v>118376</v>
      </c>
      <c r="BH69" t="s">
        <v>54</v>
      </c>
      <c r="BI69" t="str">
        <f>HYPERLINK("http://dx.doi.org/10.1016/j.apenergy.2021.118376","http://dx.doi.org/10.1016/j.apenergy.2021.118376")</f>
        <v>http://dx.doi.org/10.1016/j.apenergy.2021.118376</v>
      </c>
      <c r="BJ69" t="s">
        <v>28</v>
      </c>
      <c r="BK69" t="s">
        <v>28</v>
      </c>
      <c r="BL69">
        <v>19</v>
      </c>
      <c r="BM69" t="s">
        <v>3155</v>
      </c>
      <c r="BN69" t="s">
        <v>2314</v>
      </c>
      <c r="BO69" t="s">
        <v>3156</v>
      </c>
      <c r="BP69" t="s">
        <v>3272</v>
      </c>
      <c r="BQ69" t="s">
        <v>28</v>
      </c>
      <c r="BR69" t="s">
        <v>28</v>
      </c>
      <c r="BS69" t="s">
        <v>28</v>
      </c>
      <c r="BT69" t="s">
        <v>28</v>
      </c>
      <c r="BU69" t="s">
        <v>2261</v>
      </c>
      <c r="BV69" t="s">
        <v>3273</v>
      </c>
      <c r="BW69" t="str">
        <f>HYPERLINK("https%3A%2F%2Fwww.webofscience.com%2Fwos%2Fwoscc%2Ffull-record%2FWOS:000769799500009","View Full Record in Web of Science")</f>
        <v>View Full Record in Web of Science</v>
      </c>
    </row>
    <row r="70" spans="1:75" x14ac:dyDescent="0.35">
      <c r="A70">
        <f>COUNTIF(Scopus!$E$2:$E$128,"="&amp;Tabelle6[[#This Row],[Article Title]])</f>
        <v>1</v>
      </c>
      <c r="B70">
        <v>1</v>
      </c>
      <c r="C70" s="1" t="s">
        <v>2148</v>
      </c>
      <c r="D70" t="s">
        <v>1321</v>
      </c>
      <c r="E70" t="s">
        <v>1359</v>
      </c>
      <c r="F70">
        <v>2021</v>
      </c>
      <c r="G70" t="s">
        <v>99</v>
      </c>
      <c r="H70" t="s">
        <v>28</v>
      </c>
      <c r="I70" t="s">
        <v>28</v>
      </c>
      <c r="J70" t="s">
        <v>28</v>
      </c>
      <c r="K70" t="s">
        <v>1360</v>
      </c>
      <c r="L70" t="s">
        <v>28</v>
      </c>
      <c r="M70" t="s">
        <v>28</v>
      </c>
      <c r="N70" t="s">
        <v>1361</v>
      </c>
      <c r="O70" t="s">
        <v>28</v>
      </c>
      <c r="P70" t="s">
        <v>28</v>
      </c>
      <c r="Q70" t="s">
        <v>2242</v>
      </c>
      <c r="R70" t="s">
        <v>34</v>
      </c>
      <c r="S70" t="s">
        <v>28</v>
      </c>
      <c r="T70" t="s">
        <v>28</v>
      </c>
      <c r="U70" t="s">
        <v>28</v>
      </c>
      <c r="V70" t="s">
        <v>28</v>
      </c>
      <c r="W70" t="s">
        <v>28</v>
      </c>
      <c r="X70" t="s">
        <v>2868</v>
      </c>
      <c r="Y70" t="s">
        <v>2869</v>
      </c>
      <c r="Z70" t="s">
        <v>2870</v>
      </c>
      <c r="AA70" t="s">
        <v>2871</v>
      </c>
      <c r="AB70" t="s">
        <v>28</v>
      </c>
      <c r="AC70" t="s">
        <v>2872</v>
      </c>
      <c r="AD70" t="s">
        <v>2873</v>
      </c>
      <c r="AE70" t="s">
        <v>2874</v>
      </c>
      <c r="AF70" t="s">
        <v>2875</v>
      </c>
      <c r="AG70" t="s">
        <v>2876</v>
      </c>
      <c r="AH70" t="s">
        <v>2877</v>
      </c>
      <c r="AI70" t="s">
        <v>2878</v>
      </c>
      <c r="AJ70" t="s">
        <v>28</v>
      </c>
      <c r="AK70">
        <v>33</v>
      </c>
      <c r="AL70">
        <v>1</v>
      </c>
      <c r="AM70">
        <v>1</v>
      </c>
      <c r="AN70">
        <v>6</v>
      </c>
      <c r="AO70">
        <v>16</v>
      </c>
      <c r="AP70" t="s">
        <v>2252</v>
      </c>
      <c r="AQ70" t="s">
        <v>2253</v>
      </c>
      <c r="AR70" t="s">
        <v>2254</v>
      </c>
      <c r="AS70" t="s">
        <v>1362</v>
      </c>
      <c r="AT70" t="s">
        <v>1363</v>
      </c>
      <c r="AU70" t="s">
        <v>28</v>
      </c>
      <c r="AV70" t="s">
        <v>2879</v>
      </c>
      <c r="AW70" t="s">
        <v>2880</v>
      </c>
      <c r="AX70" t="s">
        <v>1364</v>
      </c>
      <c r="AY70">
        <v>315</v>
      </c>
      <c r="AZ70" t="s">
        <v>28</v>
      </c>
      <c r="BA70" t="s">
        <v>28</v>
      </c>
      <c r="BB70" t="s">
        <v>28</v>
      </c>
      <c r="BC70" t="s">
        <v>28</v>
      </c>
      <c r="BD70" t="s">
        <v>28</v>
      </c>
      <c r="BE70" t="s">
        <v>28</v>
      </c>
      <c r="BF70" t="s">
        <v>28</v>
      </c>
      <c r="BG70" t="s">
        <v>28</v>
      </c>
      <c r="BH70" t="s">
        <v>102</v>
      </c>
      <c r="BI70" t="str">
        <f>HYPERLINK("http://dx.doi.org/10.1016/j.jclepro.2021.128169","http://dx.doi.org/10.1016/j.jclepro.2021.128169")</f>
        <v>http://dx.doi.org/10.1016/j.jclepro.2021.128169</v>
      </c>
      <c r="BJ70" t="s">
        <v>28</v>
      </c>
      <c r="BK70" t="s">
        <v>2881</v>
      </c>
      <c r="BL70">
        <v>10</v>
      </c>
      <c r="BM70" t="s">
        <v>2882</v>
      </c>
      <c r="BN70" t="s">
        <v>2314</v>
      </c>
      <c r="BO70" t="s">
        <v>2883</v>
      </c>
      <c r="BP70" t="s">
        <v>2884</v>
      </c>
      <c r="BQ70" t="s">
        <v>28</v>
      </c>
      <c r="BR70" t="s">
        <v>28</v>
      </c>
      <c r="BS70" t="s">
        <v>28</v>
      </c>
      <c r="BT70" t="s">
        <v>28</v>
      </c>
      <c r="BU70" t="s">
        <v>2261</v>
      </c>
      <c r="BV70" t="s">
        <v>1365</v>
      </c>
      <c r="BW70" t="str">
        <f>HYPERLINK("https%3A%2F%2Fwww.webofscience.com%2Fwos%2Fwoscc%2Ffull-record%2FWOS:000688287900003","View Full Record in Web of Science")</f>
        <v>View Full Record in Web of Science</v>
      </c>
    </row>
    <row r="71" spans="1:75" x14ac:dyDescent="0.35">
      <c r="A71">
        <f>COUNTIF(Scopus!$E$2:$E$128,"="&amp;Tabelle6[[#This Row],[Article Title]])</f>
        <v>1</v>
      </c>
      <c r="B71">
        <v>1</v>
      </c>
      <c r="C71" s="1" t="s">
        <v>2148</v>
      </c>
      <c r="D71" t="s">
        <v>1321</v>
      </c>
      <c r="E71" t="s">
        <v>1919</v>
      </c>
      <c r="F71">
        <v>2013</v>
      </c>
      <c r="G71" t="s">
        <v>1921</v>
      </c>
      <c r="H71" t="s">
        <v>28</v>
      </c>
      <c r="I71" t="s">
        <v>28</v>
      </c>
      <c r="J71" t="s">
        <v>28</v>
      </c>
      <c r="K71" t="s">
        <v>1920</v>
      </c>
      <c r="L71" t="s">
        <v>28</v>
      </c>
      <c r="M71" t="s">
        <v>28</v>
      </c>
      <c r="N71" t="s">
        <v>1399</v>
      </c>
      <c r="O71" t="s">
        <v>28</v>
      </c>
      <c r="P71" t="s">
        <v>28</v>
      </c>
      <c r="Q71" t="s">
        <v>2242</v>
      </c>
      <c r="R71" t="s">
        <v>34</v>
      </c>
      <c r="S71" t="s">
        <v>28</v>
      </c>
      <c r="T71" t="s">
        <v>28</v>
      </c>
      <c r="U71" t="s">
        <v>28</v>
      </c>
      <c r="V71" t="s">
        <v>28</v>
      </c>
      <c r="W71" t="s">
        <v>28</v>
      </c>
      <c r="X71" t="s">
        <v>2262</v>
      </c>
      <c r="Y71" t="s">
        <v>2263</v>
      </c>
      <c r="Z71" t="s">
        <v>2264</v>
      </c>
      <c r="AA71" t="s">
        <v>2265</v>
      </c>
      <c r="AB71" t="s">
        <v>28</v>
      </c>
      <c r="AC71" t="s">
        <v>2266</v>
      </c>
      <c r="AD71" t="s">
        <v>2267</v>
      </c>
      <c r="AE71" t="s">
        <v>2268</v>
      </c>
      <c r="AF71" t="s">
        <v>2269</v>
      </c>
      <c r="AG71" t="s">
        <v>2270</v>
      </c>
      <c r="AH71" t="s">
        <v>2271</v>
      </c>
      <c r="AI71" t="s">
        <v>2272</v>
      </c>
      <c r="AJ71" t="s">
        <v>28</v>
      </c>
      <c r="AK71">
        <v>28</v>
      </c>
      <c r="AL71">
        <v>32</v>
      </c>
      <c r="AM71">
        <v>33</v>
      </c>
      <c r="AN71">
        <v>1</v>
      </c>
      <c r="AO71">
        <v>28</v>
      </c>
      <c r="AP71" t="s">
        <v>2273</v>
      </c>
      <c r="AQ71" t="s">
        <v>2274</v>
      </c>
      <c r="AR71" t="s">
        <v>2275</v>
      </c>
      <c r="AS71" t="s">
        <v>1400</v>
      </c>
      <c r="AT71" t="s">
        <v>28</v>
      </c>
      <c r="AU71" t="s">
        <v>28</v>
      </c>
      <c r="AV71" t="s">
        <v>2276</v>
      </c>
      <c r="AW71" t="s">
        <v>2277</v>
      </c>
      <c r="AX71" t="s">
        <v>1356</v>
      </c>
      <c r="AY71">
        <v>5</v>
      </c>
      <c r="AZ71">
        <v>3</v>
      </c>
      <c r="BA71" t="s">
        <v>28</v>
      </c>
      <c r="BB71" t="s">
        <v>28</v>
      </c>
      <c r="BC71" t="s">
        <v>28</v>
      </c>
      <c r="BD71" t="s">
        <v>28</v>
      </c>
      <c r="BE71">
        <v>1082</v>
      </c>
      <c r="BF71">
        <v>1100</v>
      </c>
      <c r="BG71" t="s">
        <v>28</v>
      </c>
      <c r="BH71" t="s">
        <v>946</v>
      </c>
      <c r="BI71" t="str">
        <f>HYPERLINK("http://dx.doi.org/10.3390/w5031082","http://dx.doi.org/10.3390/w5031082")</f>
        <v>http://dx.doi.org/10.3390/w5031082</v>
      </c>
      <c r="BJ71" t="s">
        <v>28</v>
      </c>
      <c r="BK71" t="s">
        <v>28</v>
      </c>
      <c r="BL71">
        <v>19</v>
      </c>
      <c r="BM71" t="s">
        <v>2278</v>
      </c>
      <c r="BN71" t="s">
        <v>2258</v>
      </c>
      <c r="BO71" t="s">
        <v>2279</v>
      </c>
      <c r="BP71" t="s">
        <v>2280</v>
      </c>
      <c r="BQ71" t="s">
        <v>28</v>
      </c>
      <c r="BR71" t="s">
        <v>2281</v>
      </c>
      <c r="BS71" t="s">
        <v>28</v>
      </c>
      <c r="BT71" t="s">
        <v>28</v>
      </c>
      <c r="BU71" t="s">
        <v>2261</v>
      </c>
      <c r="BV71" t="s">
        <v>1922</v>
      </c>
      <c r="BW71" t="str">
        <f>HYPERLINK("https%3A%2F%2Fwww.webofscience.com%2Fwos%2Fwoscc%2Ffull-record%2FWOS:000330517800011","View Full Record in Web of Science")</f>
        <v>View Full Record in Web of Science</v>
      </c>
    </row>
    <row r="72" spans="1:75" x14ac:dyDescent="0.35">
      <c r="A72">
        <f>COUNTIF(Scopus!$E$2:$E$128,"="&amp;Tabelle6[[#This Row],[Article Title]])</f>
        <v>1</v>
      </c>
      <c r="B72">
        <v>1</v>
      </c>
      <c r="C72" s="1" t="s">
        <v>2148</v>
      </c>
      <c r="D72" t="s">
        <v>1321</v>
      </c>
      <c r="E72" t="s">
        <v>3424</v>
      </c>
      <c r="F72">
        <v>2021</v>
      </c>
      <c r="G72" t="s">
        <v>110</v>
      </c>
      <c r="H72" t="s">
        <v>28</v>
      </c>
      <c r="I72" t="s">
        <v>28</v>
      </c>
      <c r="J72" t="s">
        <v>28</v>
      </c>
      <c r="K72" t="s">
        <v>3425</v>
      </c>
      <c r="L72" t="s">
        <v>28</v>
      </c>
      <c r="M72" t="s">
        <v>28</v>
      </c>
      <c r="N72" t="s">
        <v>3426</v>
      </c>
      <c r="O72" t="s">
        <v>28</v>
      </c>
      <c r="P72" t="s">
        <v>28</v>
      </c>
      <c r="Q72" t="s">
        <v>2242</v>
      </c>
      <c r="R72" t="s">
        <v>34</v>
      </c>
      <c r="S72" t="s">
        <v>28</v>
      </c>
      <c r="T72" t="s">
        <v>28</v>
      </c>
      <c r="U72" t="s">
        <v>28</v>
      </c>
      <c r="V72" t="s">
        <v>28</v>
      </c>
      <c r="W72" t="s">
        <v>28</v>
      </c>
      <c r="X72" t="s">
        <v>3427</v>
      </c>
      <c r="Y72" t="s">
        <v>3428</v>
      </c>
      <c r="Z72" t="s">
        <v>3429</v>
      </c>
      <c r="AA72" t="s">
        <v>3430</v>
      </c>
      <c r="AB72" t="s">
        <v>28</v>
      </c>
      <c r="AC72" t="s">
        <v>3431</v>
      </c>
      <c r="AD72" t="s">
        <v>3432</v>
      </c>
      <c r="AE72" t="s">
        <v>28</v>
      </c>
      <c r="AF72" t="s">
        <v>3433</v>
      </c>
      <c r="AG72" t="s">
        <v>28</v>
      </c>
      <c r="AH72" t="s">
        <v>28</v>
      </c>
      <c r="AI72" t="s">
        <v>28</v>
      </c>
      <c r="AJ72" t="s">
        <v>28</v>
      </c>
      <c r="AK72">
        <v>57</v>
      </c>
      <c r="AL72">
        <v>2</v>
      </c>
      <c r="AM72">
        <v>2</v>
      </c>
      <c r="AN72">
        <v>4</v>
      </c>
      <c r="AO72">
        <v>8</v>
      </c>
      <c r="AP72" t="s">
        <v>2252</v>
      </c>
      <c r="AQ72" t="s">
        <v>2253</v>
      </c>
      <c r="AR72" t="s">
        <v>2254</v>
      </c>
      <c r="AS72" t="s">
        <v>3434</v>
      </c>
      <c r="AT72" t="s">
        <v>3435</v>
      </c>
      <c r="AU72" t="s">
        <v>28</v>
      </c>
      <c r="AV72" t="s">
        <v>3436</v>
      </c>
      <c r="AW72" t="s">
        <v>3437</v>
      </c>
      <c r="AX72" t="s">
        <v>1356</v>
      </c>
      <c r="AY72">
        <v>8</v>
      </c>
      <c r="AZ72">
        <v>3</v>
      </c>
      <c r="BA72" t="s">
        <v>28</v>
      </c>
      <c r="BB72" t="s">
        <v>28</v>
      </c>
      <c r="BC72" t="s">
        <v>28</v>
      </c>
      <c r="BD72" t="s">
        <v>28</v>
      </c>
      <c r="BE72" t="s">
        <v>28</v>
      </c>
      <c r="BF72" t="s">
        <v>28</v>
      </c>
      <c r="BG72">
        <v>100927</v>
      </c>
      <c r="BH72" t="s">
        <v>115</v>
      </c>
      <c r="BI72" t="str">
        <f>HYPERLINK("http://dx.doi.org/10.1016/j.exis.2021.100927","http://dx.doi.org/10.1016/j.exis.2021.100927")</f>
        <v>http://dx.doi.org/10.1016/j.exis.2021.100927</v>
      </c>
      <c r="BJ72" t="s">
        <v>28</v>
      </c>
      <c r="BK72" t="s">
        <v>2881</v>
      </c>
      <c r="BL72">
        <v>13</v>
      </c>
      <c r="BM72" t="s">
        <v>3124</v>
      </c>
      <c r="BN72" t="s">
        <v>2465</v>
      </c>
      <c r="BO72" t="s">
        <v>2436</v>
      </c>
      <c r="BP72" t="s">
        <v>3438</v>
      </c>
      <c r="BQ72" t="s">
        <v>28</v>
      </c>
      <c r="BR72" t="s">
        <v>28</v>
      </c>
      <c r="BS72" t="s">
        <v>28</v>
      </c>
      <c r="BT72" t="s">
        <v>28</v>
      </c>
      <c r="BU72" t="s">
        <v>2261</v>
      </c>
      <c r="BV72" t="s">
        <v>3439</v>
      </c>
      <c r="BW72" t="str">
        <f>HYPERLINK("https%3A%2F%2Fwww.webofscience.com%2Fwos%2Fwoscc%2Ffull-record%2FWOS:000680435200001","View Full Record in Web of Science")</f>
        <v>View Full Record in Web of Science</v>
      </c>
    </row>
    <row r="73" spans="1:75" x14ac:dyDescent="0.35">
      <c r="A73">
        <f>COUNTIF(Scopus!$E$2:$E$128,"="&amp;Tabelle6[[#This Row],[Article Title]])</f>
        <v>0</v>
      </c>
      <c r="B73">
        <v>6</v>
      </c>
      <c r="C73" s="1" t="s">
        <v>4538</v>
      </c>
      <c r="D73" t="s">
        <v>1321</v>
      </c>
      <c r="E73" t="s">
        <v>1905</v>
      </c>
      <c r="F73">
        <v>2013</v>
      </c>
      <c r="G73" t="s">
        <v>1907</v>
      </c>
      <c r="H73" t="s">
        <v>28</v>
      </c>
      <c r="I73" t="s">
        <v>28</v>
      </c>
      <c r="J73" t="s">
        <v>28</v>
      </c>
      <c r="K73" t="s">
        <v>1906</v>
      </c>
      <c r="L73" t="s">
        <v>28</v>
      </c>
      <c r="M73" t="s">
        <v>28</v>
      </c>
      <c r="N73" t="s">
        <v>1908</v>
      </c>
      <c r="O73" t="s">
        <v>28</v>
      </c>
      <c r="P73" t="s">
        <v>28</v>
      </c>
      <c r="Q73" t="s">
        <v>2242</v>
      </c>
      <c r="R73" t="s">
        <v>34</v>
      </c>
      <c r="S73" t="s">
        <v>28</v>
      </c>
      <c r="T73" t="s">
        <v>28</v>
      </c>
      <c r="U73" t="s">
        <v>28</v>
      </c>
      <c r="V73" t="s">
        <v>28</v>
      </c>
      <c r="W73" t="s">
        <v>28</v>
      </c>
      <c r="X73" t="s">
        <v>28</v>
      </c>
      <c r="Y73" t="s">
        <v>3680</v>
      </c>
      <c r="Z73" t="s">
        <v>3681</v>
      </c>
      <c r="AA73" t="s">
        <v>3682</v>
      </c>
      <c r="AB73" t="s">
        <v>28</v>
      </c>
      <c r="AC73" t="s">
        <v>3683</v>
      </c>
      <c r="AD73" t="s">
        <v>3684</v>
      </c>
      <c r="AE73" t="s">
        <v>3685</v>
      </c>
      <c r="AF73" t="s">
        <v>3686</v>
      </c>
      <c r="AG73" t="s">
        <v>3687</v>
      </c>
      <c r="AH73" t="s">
        <v>3687</v>
      </c>
      <c r="AI73" t="s">
        <v>3688</v>
      </c>
      <c r="AJ73" t="s">
        <v>28</v>
      </c>
      <c r="AK73">
        <v>43</v>
      </c>
      <c r="AL73">
        <v>16</v>
      </c>
      <c r="AM73">
        <v>16</v>
      </c>
      <c r="AN73">
        <v>1</v>
      </c>
      <c r="AO73">
        <v>107</v>
      </c>
      <c r="AP73" t="s">
        <v>3050</v>
      </c>
      <c r="AQ73" t="s">
        <v>2384</v>
      </c>
      <c r="AR73" t="s">
        <v>3051</v>
      </c>
      <c r="AS73" t="s">
        <v>1909</v>
      </c>
      <c r="AT73" t="s">
        <v>1910</v>
      </c>
      <c r="AU73" t="s">
        <v>28</v>
      </c>
      <c r="AV73" t="s">
        <v>3052</v>
      </c>
      <c r="AW73" t="s">
        <v>3053</v>
      </c>
      <c r="AX73" t="s">
        <v>1348</v>
      </c>
      <c r="AY73">
        <v>47</v>
      </c>
      <c r="AZ73">
        <v>19</v>
      </c>
      <c r="BA73" t="s">
        <v>28</v>
      </c>
      <c r="BB73" t="s">
        <v>28</v>
      </c>
      <c r="BC73" t="s">
        <v>28</v>
      </c>
      <c r="BD73" t="s">
        <v>28</v>
      </c>
      <c r="BE73">
        <v>10744</v>
      </c>
      <c r="BF73">
        <v>10752</v>
      </c>
      <c r="BG73" t="s">
        <v>28</v>
      </c>
      <c r="BH73" t="s">
        <v>1911</v>
      </c>
      <c r="BI73" t="str">
        <f>HYPERLINK("http://dx.doi.org/10.1021/es304924w","http://dx.doi.org/10.1021/es304924w")</f>
        <v>http://dx.doi.org/10.1021/es304924w</v>
      </c>
      <c r="BJ73" t="s">
        <v>28</v>
      </c>
      <c r="BK73" t="s">
        <v>28</v>
      </c>
      <c r="BL73">
        <v>9</v>
      </c>
      <c r="BM73" t="s">
        <v>2299</v>
      </c>
      <c r="BN73" t="s">
        <v>2258</v>
      </c>
      <c r="BO73" t="s">
        <v>2300</v>
      </c>
      <c r="BP73" t="s">
        <v>3689</v>
      </c>
      <c r="BQ73">
        <v>23815440</v>
      </c>
      <c r="BR73" t="s">
        <v>2467</v>
      </c>
      <c r="BS73" t="s">
        <v>28</v>
      </c>
      <c r="BT73" t="s">
        <v>28</v>
      </c>
      <c r="BU73" t="s">
        <v>2261</v>
      </c>
      <c r="BV73" t="s">
        <v>1912</v>
      </c>
      <c r="BW73" t="str">
        <f>HYPERLINK("https%3A%2F%2Fwww.webofscience.com%2Fwos%2Fwoscc%2Ffull-record%2FWOS:000330094900005","View Full Record in Web of Science")</f>
        <v>View Full Record in Web of Science</v>
      </c>
    </row>
    <row r="74" spans="1:75" ht="17.5" customHeight="1" x14ac:dyDescent="0.35">
      <c r="A74">
        <f>COUNTIF(Scopus!$E$2:$E$128,"="&amp;Tabelle6[[#This Row],[Article Title]])</f>
        <v>0</v>
      </c>
      <c r="B74">
        <v>3</v>
      </c>
      <c r="C74" s="1" t="s">
        <v>2149</v>
      </c>
      <c r="D74" t="s">
        <v>1321</v>
      </c>
      <c r="E74" t="s">
        <v>3397</v>
      </c>
      <c r="F74">
        <v>2014</v>
      </c>
      <c r="G74" s="5" t="s">
        <v>3399</v>
      </c>
      <c r="H74" t="s">
        <v>28</v>
      </c>
      <c r="I74" t="s">
        <v>28</v>
      </c>
      <c r="J74" t="s">
        <v>28</v>
      </c>
      <c r="K74" t="s">
        <v>3398</v>
      </c>
      <c r="L74" t="s">
        <v>28</v>
      </c>
      <c r="M74" t="s">
        <v>28</v>
      </c>
      <c r="N74" t="s">
        <v>3113</v>
      </c>
      <c r="O74" t="s">
        <v>28</v>
      </c>
      <c r="P74" t="s">
        <v>28</v>
      </c>
      <c r="Q74" t="s">
        <v>2242</v>
      </c>
      <c r="R74" t="s">
        <v>34</v>
      </c>
      <c r="S74" t="s">
        <v>28</v>
      </c>
      <c r="T74" t="s">
        <v>28</v>
      </c>
      <c r="U74" t="s">
        <v>28</v>
      </c>
      <c r="V74" t="s">
        <v>28</v>
      </c>
      <c r="W74" t="s">
        <v>28</v>
      </c>
      <c r="X74" t="s">
        <v>3400</v>
      </c>
      <c r="Y74" t="s">
        <v>3401</v>
      </c>
      <c r="Z74" t="s">
        <v>3402</v>
      </c>
      <c r="AA74" t="s">
        <v>3403</v>
      </c>
      <c r="AB74" t="s">
        <v>28</v>
      </c>
      <c r="AC74" t="s">
        <v>3404</v>
      </c>
      <c r="AD74" t="s">
        <v>3405</v>
      </c>
      <c r="AE74" t="s">
        <v>3406</v>
      </c>
      <c r="AF74" t="s">
        <v>3407</v>
      </c>
      <c r="AG74" t="s">
        <v>3408</v>
      </c>
      <c r="AH74" t="s">
        <v>3409</v>
      </c>
      <c r="AI74" t="s">
        <v>28</v>
      </c>
      <c r="AJ74" t="s">
        <v>28</v>
      </c>
      <c r="AK74">
        <v>44</v>
      </c>
      <c r="AL74">
        <v>15</v>
      </c>
      <c r="AM74">
        <v>15</v>
      </c>
      <c r="AN74">
        <v>0</v>
      </c>
      <c r="AO74">
        <v>25</v>
      </c>
      <c r="AP74" t="s">
        <v>3119</v>
      </c>
      <c r="AQ74" t="s">
        <v>2309</v>
      </c>
      <c r="AR74" t="s">
        <v>3120</v>
      </c>
      <c r="AS74" t="s">
        <v>3121</v>
      </c>
      <c r="AT74" t="s">
        <v>3410</v>
      </c>
      <c r="AU74" t="s">
        <v>28</v>
      </c>
      <c r="AV74" t="s">
        <v>3122</v>
      </c>
      <c r="AW74" t="s">
        <v>3123</v>
      </c>
      <c r="AX74" t="s">
        <v>28</v>
      </c>
      <c r="AY74">
        <v>41</v>
      </c>
      <c r="AZ74">
        <v>5</v>
      </c>
      <c r="BA74" t="s">
        <v>28</v>
      </c>
      <c r="BB74" t="s">
        <v>28</v>
      </c>
      <c r="BC74" t="s">
        <v>28</v>
      </c>
      <c r="BD74" t="s">
        <v>28</v>
      </c>
      <c r="BE74">
        <v>907</v>
      </c>
      <c r="BF74">
        <v>927</v>
      </c>
      <c r="BG74" t="s">
        <v>28</v>
      </c>
      <c r="BH74" t="s">
        <v>3411</v>
      </c>
      <c r="BI74" t="str">
        <f>HYPERLINK("http://dx.doi.org/10.1068/b130118p","http://dx.doi.org/10.1068/b130118p")</f>
        <v>http://dx.doi.org/10.1068/b130118p</v>
      </c>
      <c r="BJ74" t="s">
        <v>28</v>
      </c>
      <c r="BK74" t="s">
        <v>28</v>
      </c>
      <c r="BL74">
        <v>21</v>
      </c>
      <c r="BM74" t="s">
        <v>3124</v>
      </c>
      <c r="BN74" t="s">
        <v>2465</v>
      </c>
      <c r="BO74" t="s">
        <v>2436</v>
      </c>
      <c r="BP74" t="s">
        <v>3412</v>
      </c>
      <c r="BQ74" t="s">
        <v>28</v>
      </c>
      <c r="BR74" t="s">
        <v>28</v>
      </c>
      <c r="BS74" t="s">
        <v>28</v>
      </c>
      <c r="BT74" t="s">
        <v>28</v>
      </c>
      <c r="BU74" t="s">
        <v>2261</v>
      </c>
      <c r="BV74" t="s">
        <v>3413</v>
      </c>
      <c r="BW74" t="str">
        <f>HYPERLINK("https%3A%2F%2Fwww.webofscience.com%2Fwos%2Fwoscc%2Ffull-record%2FWOS:000344091800010","View Full Record in Web of Science")</f>
        <v>View Full Record in Web of Science</v>
      </c>
    </row>
    <row r="75" spans="1:75" x14ac:dyDescent="0.35">
      <c r="A75">
        <f>COUNTIF(Scopus!$E$2:$E$128,"="&amp;Tabelle6[[#This Row],[Article Title]])</f>
        <v>0</v>
      </c>
      <c r="B75">
        <v>3</v>
      </c>
      <c r="C75" s="1" t="s">
        <v>2149</v>
      </c>
      <c r="D75" t="s">
        <v>1321</v>
      </c>
      <c r="E75" t="s">
        <v>1923</v>
      </c>
      <c r="F75">
        <v>2013</v>
      </c>
      <c r="G75" t="s">
        <v>1925</v>
      </c>
      <c r="H75" t="s">
        <v>28</v>
      </c>
      <c r="I75" t="s">
        <v>28</v>
      </c>
      <c r="J75" t="s">
        <v>28</v>
      </c>
      <c r="K75" t="s">
        <v>1924</v>
      </c>
      <c r="L75" t="s">
        <v>28</v>
      </c>
      <c r="M75" t="s">
        <v>28</v>
      </c>
      <c r="N75" t="s">
        <v>1623</v>
      </c>
      <c r="O75" t="s">
        <v>28</v>
      </c>
      <c r="P75" t="s">
        <v>28</v>
      </c>
      <c r="Q75" t="s">
        <v>2242</v>
      </c>
      <c r="R75" t="s">
        <v>34</v>
      </c>
      <c r="S75" t="s">
        <v>28</v>
      </c>
      <c r="T75" t="s">
        <v>28</v>
      </c>
      <c r="U75" t="s">
        <v>28</v>
      </c>
      <c r="V75" t="s">
        <v>28</v>
      </c>
      <c r="W75" t="s">
        <v>28</v>
      </c>
      <c r="X75" t="s">
        <v>3488</v>
      </c>
      <c r="Y75" t="s">
        <v>3489</v>
      </c>
      <c r="Z75" t="s">
        <v>3490</v>
      </c>
      <c r="AA75" t="s">
        <v>3491</v>
      </c>
      <c r="AB75" t="s">
        <v>28</v>
      </c>
      <c r="AC75" t="s">
        <v>3492</v>
      </c>
      <c r="AD75" t="s">
        <v>3493</v>
      </c>
      <c r="AE75" t="s">
        <v>1926</v>
      </c>
      <c r="AF75" t="s">
        <v>3494</v>
      </c>
      <c r="AG75" t="s">
        <v>3495</v>
      </c>
      <c r="AH75" t="s">
        <v>3496</v>
      </c>
      <c r="AI75" t="s">
        <v>3497</v>
      </c>
      <c r="AJ75" t="s">
        <v>28</v>
      </c>
      <c r="AK75">
        <v>56</v>
      </c>
      <c r="AL75">
        <v>31</v>
      </c>
      <c r="AM75">
        <v>32</v>
      </c>
      <c r="AN75">
        <v>0</v>
      </c>
      <c r="AO75">
        <v>44</v>
      </c>
      <c r="AP75" t="s">
        <v>2252</v>
      </c>
      <c r="AQ75" t="s">
        <v>2253</v>
      </c>
      <c r="AR75" t="s">
        <v>2254</v>
      </c>
      <c r="AS75" t="s">
        <v>1624</v>
      </c>
      <c r="AT75" t="s">
        <v>28</v>
      </c>
      <c r="AU75" t="s">
        <v>28</v>
      </c>
      <c r="AV75" t="s">
        <v>2255</v>
      </c>
      <c r="AW75" t="s">
        <v>2256</v>
      </c>
      <c r="AX75" t="s">
        <v>1388</v>
      </c>
      <c r="AY75">
        <v>45</v>
      </c>
      <c r="AZ75" t="s">
        <v>28</v>
      </c>
      <c r="BA75" t="s">
        <v>28</v>
      </c>
      <c r="BB75" t="s">
        <v>28</v>
      </c>
      <c r="BC75" t="s">
        <v>28</v>
      </c>
      <c r="BD75" t="s">
        <v>28</v>
      </c>
      <c r="BE75">
        <v>116</v>
      </c>
      <c r="BF75">
        <v>128</v>
      </c>
      <c r="BG75" t="s">
        <v>28</v>
      </c>
      <c r="BH75" t="s">
        <v>1927</v>
      </c>
      <c r="BI75" t="str">
        <f>HYPERLINK("http://dx.doi.org/10.1016/j.envsoft.2012.03.020","http://dx.doi.org/10.1016/j.envsoft.2012.03.020")</f>
        <v>http://dx.doi.org/10.1016/j.envsoft.2012.03.020</v>
      </c>
      <c r="BJ75" t="s">
        <v>28</v>
      </c>
      <c r="BK75" t="s">
        <v>28</v>
      </c>
      <c r="BL75">
        <v>13</v>
      </c>
      <c r="BM75" t="s">
        <v>2257</v>
      </c>
      <c r="BN75" t="s">
        <v>2314</v>
      </c>
      <c r="BO75" t="s">
        <v>2259</v>
      </c>
      <c r="BP75" t="s">
        <v>3498</v>
      </c>
      <c r="BQ75" t="s">
        <v>28</v>
      </c>
      <c r="BR75" t="s">
        <v>28</v>
      </c>
      <c r="BS75" t="s">
        <v>28</v>
      </c>
      <c r="BT75" t="s">
        <v>28</v>
      </c>
      <c r="BU75" t="s">
        <v>2261</v>
      </c>
      <c r="BV75" t="s">
        <v>1928</v>
      </c>
      <c r="BW75" t="str">
        <f>HYPERLINK("https%3A%2F%2Fwww.webofscience.com%2Fwos%2Fwoscc%2Ffull-record%2FWOS:000320685400010","View Full Record in Web of Science")</f>
        <v>View Full Record in Web of Science</v>
      </c>
    </row>
    <row r="76" spans="1:75" x14ac:dyDescent="0.35">
      <c r="A76">
        <f>COUNTIF(Scopus!$E$2:$E$128,"="&amp;Tabelle6[[#This Row],[Article Title]])</f>
        <v>0</v>
      </c>
      <c r="B76">
        <v>3</v>
      </c>
      <c r="C76" s="1" t="s">
        <v>2149</v>
      </c>
      <c r="D76" t="s">
        <v>1321</v>
      </c>
      <c r="E76" t="s">
        <v>2073</v>
      </c>
      <c r="F76">
        <v>2006</v>
      </c>
      <c r="G76" t="s">
        <v>2074</v>
      </c>
      <c r="H76" t="s">
        <v>28</v>
      </c>
      <c r="I76" t="s">
        <v>28</v>
      </c>
      <c r="J76" t="s">
        <v>28</v>
      </c>
      <c r="K76" t="s">
        <v>2073</v>
      </c>
      <c r="L76" t="s">
        <v>28</v>
      </c>
      <c r="M76" t="s">
        <v>28</v>
      </c>
      <c r="N76" t="s">
        <v>1407</v>
      </c>
      <c r="O76" t="s">
        <v>28</v>
      </c>
      <c r="P76" t="s">
        <v>28</v>
      </c>
      <c r="Q76" t="s">
        <v>2242</v>
      </c>
      <c r="R76" t="s">
        <v>34</v>
      </c>
      <c r="S76" t="s">
        <v>28</v>
      </c>
      <c r="T76" t="s">
        <v>28</v>
      </c>
      <c r="U76" t="s">
        <v>28</v>
      </c>
      <c r="V76" t="s">
        <v>28</v>
      </c>
      <c r="W76" t="s">
        <v>28</v>
      </c>
      <c r="X76" t="s">
        <v>3586</v>
      </c>
      <c r="Y76" t="s">
        <v>3587</v>
      </c>
      <c r="Z76" t="s">
        <v>3588</v>
      </c>
      <c r="AA76" t="s">
        <v>3589</v>
      </c>
      <c r="AB76" t="s">
        <v>28</v>
      </c>
      <c r="AC76" t="s">
        <v>3590</v>
      </c>
      <c r="AD76" t="s">
        <v>3572</v>
      </c>
      <c r="AE76" t="s">
        <v>2075</v>
      </c>
      <c r="AF76" t="s">
        <v>28</v>
      </c>
      <c r="AG76" t="s">
        <v>28</v>
      </c>
      <c r="AH76" t="s">
        <v>28</v>
      </c>
      <c r="AI76" t="s">
        <v>28</v>
      </c>
      <c r="AJ76" t="s">
        <v>28</v>
      </c>
      <c r="AK76">
        <v>63</v>
      </c>
      <c r="AL76">
        <v>83</v>
      </c>
      <c r="AM76">
        <v>94</v>
      </c>
      <c r="AN76">
        <v>2</v>
      </c>
      <c r="AO76">
        <v>43</v>
      </c>
      <c r="AP76" t="s">
        <v>2293</v>
      </c>
      <c r="AQ76" t="s">
        <v>2294</v>
      </c>
      <c r="AR76" t="s">
        <v>2295</v>
      </c>
      <c r="AS76" t="s">
        <v>1408</v>
      </c>
      <c r="AT76" t="s">
        <v>1409</v>
      </c>
      <c r="AU76" t="s">
        <v>28</v>
      </c>
      <c r="AV76" t="s">
        <v>3320</v>
      </c>
      <c r="AW76" t="s">
        <v>3321</v>
      </c>
      <c r="AX76" t="s">
        <v>2076</v>
      </c>
      <c r="AY76">
        <v>194</v>
      </c>
      <c r="AZ76">
        <v>4</v>
      </c>
      <c r="BA76" t="s">
        <v>28</v>
      </c>
      <c r="BB76" t="s">
        <v>28</v>
      </c>
      <c r="BC76" t="s">
        <v>28</v>
      </c>
      <c r="BD76" t="s">
        <v>28</v>
      </c>
      <c r="BE76">
        <v>329</v>
      </c>
      <c r="BF76">
        <v>343</v>
      </c>
      <c r="BG76" t="s">
        <v>28</v>
      </c>
      <c r="BH76" t="s">
        <v>2077</v>
      </c>
      <c r="BI76" t="str">
        <f>HYPERLINK("http://dx.doi.org/10.1016/j.ecolmodel.2005.10.032","http://dx.doi.org/10.1016/j.ecolmodel.2005.10.032")</f>
        <v>http://dx.doi.org/10.1016/j.ecolmodel.2005.10.032</v>
      </c>
      <c r="BJ76" t="s">
        <v>28</v>
      </c>
      <c r="BK76" t="s">
        <v>28</v>
      </c>
      <c r="BL76">
        <v>15</v>
      </c>
      <c r="BM76" t="s">
        <v>3323</v>
      </c>
      <c r="BN76" t="s">
        <v>2258</v>
      </c>
      <c r="BO76" t="s">
        <v>2436</v>
      </c>
      <c r="BP76" t="s">
        <v>3591</v>
      </c>
      <c r="BQ76" t="s">
        <v>28</v>
      </c>
      <c r="BR76" t="s">
        <v>28</v>
      </c>
      <c r="BS76" t="s">
        <v>28</v>
      </c>
      <c r="BT76" t="s">
        <v>28</v>
      </c>
      <c r="BU76" t="s">
        <v>2261</v>
      </c>
      <c r="BV76" t="s">
        <v>2078</v>
      </c>
      <c r="BW76" t="str">
        <f>HYPERLINK("https%3A%2F%2Fwww.webofscience.com%2Fwos%2Fwoscc%2Ffull-record%2FWOS:000236693500001","View Full Record in Web of Science")</f>
        <v>View Full Record in Web of Science</v>
      </c>
    </row>
    <row r="77" spans="1:75" x14ac:dyDescent="0.35">
      <c r="A77">
        <f>COUNTIF(Scopus!$E$2:$E$128,"="&amp;Tabelle6[[#This Row],[Article Title]])</f>
        <v>0</v>
      </c>
      <c r="B77">
        <v>3</v>
      </c>
      <c r="C77" s="1" t="s">
        <v>2149</v>
      </c>
      <c r="D77" t="s">
        <v>1417</v>
      </c>
      <c r="E77" t="s">
        <v>2063</v>
      </c>
      <c r="F77">
        <v>2007</v>
      </c>
      <c r="G77" t="s">
        <v>2066</v>
      </c>
      <c r="H77" t="s">
        <v>28</v>
      </c>
      <c r="I77" t="s">
        <v>2064</v>
      </c>
      <c r="J77" t="s">
        <v>28</v>
      </c>
      <c r="K77" t="s">
        <v>2065</v>
      </c>
      <c r="L77" t="s">
        <v>28</v>
      </c>
      <c r="M77" t="s">
        <v>28</v>
      </c>
      <c r="N77" t="s">
        <v>2067</v>
      </c>
      <c r="O77" t="s">
        <v>28</v>
      </c>
      <c r="P77" t="s">
        <v>28</v>
      </c>
      <c r="Q77" t="s">
        <v>2242</v>
      </c>
      <c r="R77" t="s">
        <v>2345</v>
      </c>
      <c r="S77" t="s">
        <v>2068</v>
      </c>
      <c r="T77" t="s">
        <v>2069</v>
      </c>
      <c r="U77" t="s">
        <v>2070</v>
      </c>
      <c r="V77" t="s">
        <v>3568</v>
      </c>
      <c r="W77" t="s">
        <v>28</v>
      </c>
      <c r="X77" t="s">
        <v>3569</v>
      </c>
      <c r="Y77" t="s">
        <v>3570</v>
      </c>
      <c r="Z77" t="s">
        <v>3571</v>
      </c>
      <c r="AA77" t="s">
        <v>28</v>
      </c>
      <c r="AB77" t="s">
        <v>28</v>
      </c>
      <c r="AC77" t="s">
        <v>28</v>
      </c>
      <c r="AD77" t="s">
        <v>3572</v>
      </c>
      <c r="AE77" t="s">
        <v>28</v>
      </c>
      <c r="AF77" t="s">
        <v>28</v>
      </c>
      <c r="AG77" t="s">
        <v>28</v>
      </c>
      <c r="AH77" t="s">
        <v>28</v>
      </c>
      <c r="AI77" t="s">
        <v>28</v>
      </c>
      <c r="AJ77" t="s">
        <v>28</v>
      </c>
      <c r="AK77">
        <v>22</v>
      </c>
      <c r="AL77">
        <v>2</v>
      </c>
      <c r="AM77">
        <v>2</v>
      </c>
      <c r="AN77">
        <v>1</v>
      </c>
      <c r="AO77">
        <v>9</v>
      </c>
      <c r="AP77" t="s">
        <v>2617</v>
      </c>
      <c r="AQ77" t="s">
        <v>2618</v>
      </c>
      <c r="AR77" t="s">
        <v>2619</v>
      </c>
      <c r="AS77" t="s">
        <v>28</v>
      </c>
      <c r="AT77" t="s">
        <v>28</v>
      </c>
      <c r="AU77" t="s">
        <v>2071</v>
      </c>
      <c r="AV77" t="s">
        <v>28</v>
      </c>
      <c r="AW77" t="s">
        <v>28</v>
      </c>
      <c r="AX77" t="s">
        <v>28</v>
      </c>
      <c r="AY77" t="s">
        <v>28</v>
      </c>
      <c r="AZ77" t="s">
        <v>28</v>
      </c>
      <c r="BA77" t="s">
        <v>28</v>
      </c>
      <c r="BB77" t="s">
        <v>28</v>
      </c>
      <c r="BC77" t="s">
        <v>28</v>
      </c>
      <c r="BD77" t="s">
        <v>28</v>
      </c>
      <c r="BE77">
        <v>4</v>
      </c>
      <c r="BF77">
        <v>10</v>
      </c>
      <c r="BG77" t="s">
        <v>28</v>
      </c>
      <c r="BH77" t="s">
        <v>28</v>
      </c>
      <c r="BI77" t="s">
        <v>28</v>
      </c>
      <c r="BJ77" t="s">
        <v>28</v>
      </c>
      <c r="BK77" t="s">
        <v>28</v>
      </c>
      <c r="BL77">
        <v>7</v>
      </c>
      <c r="BM77" t="s">
        <v>3573</v>
      </c>
      <c r="BN77" t="s">
        <v>2357</v>
      </c>
      <c r="BO77" t="s">
        <v>3574</v>
      </c>
      <c r="BP77" t="s">
        <v>3575</v>
      </c>
      <c r="BQ77" t="s">
        <v>28</v>
      </c>
      <c r="BR77" t="s">
        <v>28</v>
      </c>
      <c r="BS77" t="s">
        <v>28</v>
      </c>
      <c r="BT77" t="s">
        <v>28</v>
      </c>
      <c r="BU77" t="s">
        <v>2261</v>
      </c>
      <c r="BV77" t="s">
        <v>2072</v>
      </c>
      <c r="BW77" t="str">
        <f>HYPERLINK("https%3A%2F%2Fwww.webofscience.com%2Fwos%2Fwoscc%2Ffull-record%2FWOS:000290030700004","View Full Record in Web of Science")</f>
        <v>View Full Record in Web of Science</v>
      </c>
    </row>
    <row r="78" spans="1:75" x14ac:dyDescent="0.35">
      <c r="A78">
        <f>COUNTIF(Scopus!$E$2:$E$128,"="&amp;Tabelle6[[#This Row],[Article Title]])</f>
        <v>1</v>
      </c>
      <c r="B78">
        <v>1</v>
      </c>
      <c r="C78" s="1" t="s">
        <v>2148</v>
      </c>
      <c r="D78" t="s">
        <v>1417</v>
      </c>
      <c r="E78" t="s">
        <v>2132</v>
      </c>
      <c r="F78">
        <v>2005</v>
      </c>
      <c r="G78" t="s">
        <v>2134</v>
      </c>
      <c r="H78" t="s">
        <v>28</v>
      </c>
      <c r="I78" t="s">
        <v>2098</v>
      </c>
      <c r="J78" t="s">
        <v>28</v>
      </c>
      <c r="K78" t="s">
        <v>2133</v>
      </c>
      <c r="L78" t="s">
        <v>28</v>
      </c>
      <c r="M78" t="s">
        <v>28</v>
      </c>
      <c r="N78" t="s">
        <v>2101</v>
      </c>
      <c r="O78" t="s">
        <v>28</v>
      </c>
      <c r="P78" t="s">
        <v>28</v>
      </c>
      <c r="Q78" t="s">
        <v>2242</v>
      </c>
      <c r="R78" t="s">
        <v>2345</v>
      </c>
      <c r="S78" t="s">
        <v>2102</v>
      </c>
      <c r="T78" t="s">
        <v>2103</v>
      </c>
      <c r="U78" t="s">
        <v>1720</v>
      </c>
      <c r="V78" t="s">
        <v>28</v>
      </c>
      <c r="W78" t="s">
        <v>28</v>
      </c>
      <c r="X78" t="s">
        <v>3690</v>
      </c>
      <c r="Y78" t="s">
        <v>3691</v>
      </c>
      <c r="Z78" t="s">
        <v>3692</v>
      </c>
      <c r="AA78" t="s">
        <v>3693</v>
      </c>
      <c r="AB78" t="s">
        <v>28</v>
      </c>
      <c r="AC78" t="s">
        <v>3694</v>
      </c>
      <c r="AD78" t="s">
        <v>3572</v>
      </c>
      <c r="AE78" t="s">
        <v>2135</v>
      </c>
      <c r="AF78" t="s">
        <v>2136</v>
      </c>
      <c r="AG78" t="s">
        <v>28</v>
      </c>
      <c r="AH78" t="s">
        <v>28</v>
      </c>
      <c r="AI78" t="s">
        <v>28</v>
      </c>
      <c r="AJ78" t="s">
        <v>28</v>
      </c>
      <c r="AK78">
        <v>34</v>
      </c>
      <c r="AL78">
        <v>4</v>
      </c>
      <c r="AM78">
        <v>4</v>
      </c>
      <c r="AN78">
        <v>0</v>
      </c>
      <c r="AO78">
        <v>14</v>
      </c>
      <c r="AP78" t="s">
        <v>2617</v>
      </c>
      <c r="AQ78" t="s">
        <v>2618</v>
      </c>
      <c r="AR78" t="s">
        <v>2619</v>
      </c>
      <c r="AS78" t="s">
        <v>28</v>
      </c>
      <c r="AT78" t="s">
        <v>28</v>
      </c>
      <c r="AU78" t="s">
        <v>2106</v>
      </c>
      <c r="AV78" t="s">
        <v>28</v>
      </c>
      <c r="AW78" t="s">
        <v>28</v>
      </c>
      <c r="AX78" t="s">
        <v>28</v>
      </c>
      <c r="AY78" t="s">
        <v>28</v>
      </c>
      <c r="AZ78" t="s">
        <v>28</v>
      </c>
      <c r="BA78" t="s">
        <v>28</v>
      </c>
      <c r="BB78" t="s">
        <v>28</v>
      </c>
      <c r="BC78" t="s">
        <v>28</v>
      </c>
      <c r="BD78" t="s">
        <v>28</v>
      </c>
      <c r="BE78">
        <v>1617</v>
      </c>
      <c r="BF78">
        <v>1623</v>
      </c>
      <c r="BG78" t="s">
        <v>28</v>
      </c>
      <c r="BH78" t="s">
        <v>28</v>
      </c>
      <c r="BI78" t="s">
        <v>28</v>
      </c>
      <c r="BJ78" t="s">
        <v>28</v>
      </c>
      <c r="BK78" t="s">
        <v>28</v>
      </c>
      <c r="BL78">
        <v>7</v>
      </c>
      <c r="BM78" t="s">
        <v>2620</v>
      </c>
      <c r="BN78" t="s">
        <v>2357</v>
      </c>
      <c r="BO78" t="s">
        <v>2621</v>
      </c>
      <c r="BP78" t="s">
        <v>2622</v>
      </c>
      <c r="BQ78" t="s">
        <v>28</v>
      </c>
      <c r="BR78" t="s">
        <v>28</v>
      </c>
      <c r="BS78" t="s">
        <v>28</v>
      </c>
      <c r="BT78" t="s">
        <v>28</v>
      </c>
      <c r="BU78" t="s">
        <v>2261</v>
      </c>
      <c r="BV78" t="s">
        <v>2137</v>
      </c>
      <c r="BW78" t="str">
        <f>HYPERLINK("https%3A%2F%2Fwww.webofscience.com%2Fwos%2Fwoscc%2Ffull-record%2FWOS:000290114101096","View Full Record in Web of Science")</f>
        <v>View Full Record in Web of Science</v>
      </c>
    </row>
    <row r="79" spans="1:75" x14ac:dyDescent="0.35">
      <c r="A79">
        <f>COUNTIF(Scopus!$E$2:$E$128,"="&amp;Tabelle6[[#This Row],[Article Title]])</f>
        <v>1</v>
      </c>
      <c r="B79">
        <v>1</v>
      </c>
      <c r="C79" s="1" t="s">
        <v>2148</v>
      </c>
      <c r="D79" t="s">
        <v>1321</v>
      </c>
      <c r="E79" t="s">
        <v>1864</v>
      </c>
      <c r="F79">
        <v>2014</v>
      </c>
      <c r="G79" t="s">
        <v>810</v>
      </c>
      <c r="H79" t="s">
        <v>28</v>
      </c>
      <c r="I79" t="s">
        <v>28</v>
      </c>
      <c r="J79" t="s">
        <v>28</v>
      </c>
      <c r="K79" t="s">
        <v>1865</v>
      </c>
      <c r="L79" t="s">
        <v>28</v>
      </c>
      <c r="M79" t="s">
        <v>28</v>
      </c>
      <c r="N79" t="s">
        <v>1866</v>
      </c>
      <c r="O79" t="s">
        <v>28</v>
      </c>
      <c r="P79" t="s">
        <v>28</v>
      </c>
      <c r="Q79" t="s">
        <v>2242</v>
      </c>
      <c r="R79" t="s">
        <v>34</v>
      </c>
      <c r="S79" t="s">
        <v>28</v>
      </c>
      <c r="T79" t="s">
        <v>28</v>
      </c>
      <c r="U79" t="s">
        <v>28</v>
      </c>
      <c r="V79" t="s">
        <v>28</v>
      </c>
      <c r="W79" t="s">
        <v>28</v>
      </c>
      <c r="X79" t="s">
        <v>2491</v>
      </c>
      <c r="Y79" t="s">
        <v>2492</v>
      </c>
      <c r="Z79" t="s">
        <v>2493</v>
      </c>
      <c r="AA79" t="s">
        <v>2494</v>
      </c>
      <c r="AB79" t="s">
        <v>28</v>
      </c>
      <c r="AC79" t="s">
        <v>2495</v>
      </c>
      <c r="AD79" t="s">
        <v>2496</v>
      </c>
      <c r="AE79" t="s">
        <v>1867</v>
      </c>
      <c r="AF79" t="s">
        <v>1868</v>
      </c>
      <c r="AG79" t="s">
        <v>2497</v>
      </c>
      <c r="AH79" t="s">
        <v>2498</v>
      </c>
      <c r="AI79" t="s">
        <v>2499</v>
      </c>
      <c r="AJ79" t="s">
        <v>28</v>
      </c>
      <c r="AK79">
        <v>48</v>
      </c>
      <c r="AL79">
        <v>30</v>
      </c>
      <c r="AM79">
        <v>30</v>
      </c>
      <c r="AN79">
        <v>1</v>
      </c>
      <c r="AO79">
        <v>44</v>
      </c>
      <c r="AP79" t="s">
        <v>2500</v>
      </c>
      <c r="AQ79" t="s">
        <v>2253</v>
      </c>
      <c r="AR79" t="s">
        <v>2501</v>
      </c>
      <c r="AS79" t="s">
        <v>1869</v>
      </c>
      <c r="AT79" t="s">
        <v>28</v>
      </c>
      <c r="AU79" t="s">
        <v>28</v>
      </c>
      <c r="AV79" t="s">
        <v>2502</v>
      </c>
      <c r="AW79" t="s">
        <v>2503</v>
      </c>
      <c r="AX79" t="s">
        <v>1870</v>
      </c>
      <c r="AY79">
        <v>49</v>
      </c>
      <c r="AZ79" t="s">
        <v>28</v>
      </c>
      <c r="BA79" t="s">
        <v>28</v>
      </c>
      <c r="BB79" t="s">
        <v>28</v>
      </c>
      <c r="BC79" t="s">
        <v>28</v>
      </c>
      <c r="BD79" t="s">
        <v>28</v>
      </c>
      <c r="BE79">
        <v>286</v>
      </c>
      <c r="BF79">
        <v>299</v>
      </c>
      <c r="BG79" t="s">
        <v>28</v>
      </c>
      <c r="BH79" t="s">
        <v>813</v>
      </c>
      <c r="BI79" t="str">
        <f>HYPERLINK("http://dx.doi.org/10.1016/j.watres.2013.11.035","http://dx.doi.org/10.1016/j.watres.2013.11.035")</f>
        <v>http://dx.doi.org/10.1016/j.watres.2013.11.035</v>
      </c>
      <c r="BJ79" t="s">
        <v>28</v>
      </c>
      <c r="BK79" t="s">
        <v>28</v>
      </c>
      <c r="BL79">
        <v>14</v>
      </c>
      <c r="BM79" t="s">
        <v>2373</v>
      </c>
      <c r="BN79" t="s">
        <v>2314</v>
      </c>
      <c r="BO79" t="s">
        <v>2358</v>
      </c>
      <c r="BP79" t="s">
        <v>2504</v>
      </c>
      <c r="BQ79">
        <v>24355289</v>
      </c>
      <c r="BR79" t="s">
        <v>2438</v>
      </c>
      <c r="BS79" t="s">
        <v>28</v>
      </c>
      <c r="BT79" t="s">
        <v>28</v>
      </c>
      <c r="BU79" t="s">
        <v>2261</v>
      </c>
      <c r="BV79" t="s">
        <v>1871</v>
      </c>
      <c r="BW79" t="str">
        <f>HYPERLINK("https%3A%2F%2Fwww.webofscience.com%2Fwos%2Fwoscc%2Ffull-record%2FWOS:000330601400026","View Full Record in Web of Science")</f>
        <v>View Full Record in Web of Science</v>
      </c>
    </row>
    <row r="80" spans="1:75" x14ac:dyDescent="0.35">
      <c r="A80">
        <f>COUNTIF(Scopus!$E$2:$E$128,"="&amp;Tabelle6[[#This Row],[Article Title]])</f>
        <v>0</v>
      </c>
      <c r="B80">
        <v>3</v>
      </c>
      <c r="C80" s="1" t="s">
        <v>2149</v>
      </c>
      <c r="D80" t="s">
        <v>1321</v>
      </c>
      <c r="E80" t="s">
        <v>1932</v>
      </c>
      <c r="F80">
        <v>2012</v>
      </c>
      <c r="G80" t="s">
        <v>1934</v>
      </c>
      <c r="H80" t="s">
        <v>28</v>
      </c>
      <c r="I80" t="s">
        <v>28</v>
      </c>
      <c r="J80" t="s">
        <v>28</v>
      </c>
      <c r="K80" t="s">
        <v>1933</v>
      </c>
      <c r="L80" t="s">
        <v>28</v>
      </c>
      <c r="M80" t="s">
        <v>28</v>
      </c>
      <c r="N80" t="s">
        <v>1908</v>
      </c>
      <c r="O80" t="s">
        <v>28</v>
      </c>
      <c r="P80" t="s">
        <v>28</v>
      </c>
      <c r="Q80" t="s">
        <v>2242</v>
      </c>
      <c r="R80" t="s">
        <v>34</v>
      </c>
      <c r="S80" t="s">
        <v>28</v>
      </c>
      <c r="T80" t="s">
        <v>28</v>
      </c>
      <c r="U80" t="s">
        <v>28</v>
      </c>
      <c r="V80" t="s">
        <v>28</v>
      </c>
      <c r="W80" t="s">
        <v>28</v>
      </c>
      <c r="X80" t="s">
        <v>28</v>
      </c>
      <c r="Y80" t="s">
        <v>3042</v>
      </c>
      <c r="Z80" t="s">
        <v>3043</v>
      </c>
      <c r="AA80" t="s">
        <v>3044</v>
      </c>
      <c r="AB80" t="s">
        <v>28</v>
      </c>
      <c r="AC80" t="s">
        <v>3045</v>
      </c>
      <c r="AD80" t="s">
        <v>3046</v>
      </c>
      <c r="AE80" t="s">
        <v>1867</v>
      </c>
      <c r="AF80" t="s">
        <v>1868</v>
      </c>
      <c r="AG80" t="s">
        <v>3047</v>
      </c>
      <c r="AH80" t="s">
        <v>3048</v>
      </c>
      <c r="AI80" t="s">
        <v>3049</v>
      </c>
      <c r="AJ80" t="s">
        <v>28</v>
      </c>
      <c r="AK80">
        <v>52</v>
      </c>
      <c r="AL80">
        <v>21</v>
      </c>
      <c r="AM80">
        <v>21</v>
      </c>
      <c r="AN80">
        <v>0</v>
      </c>
      <c r="AO80">
        <v>35</v>
      </c>
      <c r="AP80" t="s">
        <v>3050</v>
      </c>
      <c r="AQ80" t="s">
        <v>2384</v>
      </c>
      <c r="AR80" t="s">
        <v>3051</v>
      </c>
      <c r="AS80" t="s">
        <v>1909</v>
      </c>
      <c r="AT80" t="s">
        <v>1910</v>
      </c>
      <c r="AU80" t="s">
        <v>28</v>
      </c>
      <c r="AV80" t="s">
        <v>3052</v>
      </c>
      <c r="AW80" t="s">
        <v>3053</v>
      </c>
      <c r="AX80" t="s">
        <v>1935</v>
      </c>
      <c r="AY80">
        <v>46</v>
      </c>
      <c r="AZ80">
        <v>24</v>
      </c>
      <c r="BA80" t="s">
        <v>28</v>
      </c>
      <c r="BB80" t="s">
        <v>28</v>
      </c>
      <c r="BC80" t="s">
        <v>28</v>
      </c>
      <c r="BD80" t="s">
        <v>28</v>
      </c>
      <c r="BE80">
        <v>13512</v>
      </c>
      <c r="BF80">
        <v>13520</v>
      </c>
      <c r="BG80" t="s">
        <v>28</v>
      </c>
      <c r="BH80" t="s">
        <v>1936</v>
      </c>
      <c r="BI80" t="str">
        <f>HYPERLINK("http://dx.doi.org/10.1021/es3038966","http://dx.doi.org/10.1021/es3038966")</f>
        <v>http://dx.doi.org/10.1021/es3038966</v>
      </c>
      <c r="BJ80" t="s">
        <v>28</v>
      </c>
      <c r="BK80" t="s">
        <v>28</v>
      </c>
      <c r="BL80">
        <v>9</v>
      </c>
      <c r="BM80" t="s">
        <v>2299</v>
      </c>
      <c r="BN80" t="s">
        <v>2314</v>
      </c>
      <c r="BO80" t="s">
        <v>2300</v>
      </c>
      <c r="BP80" t="s">
        <v>3054</v>
      </c>
      <c r="BQ80">
        <v>23186073</v>
      </c>
      <c r="BR80" t="s">
        <v>2438</v>
      </c>
      <c r="BS80" t="s">
        <v>28</v>
      </c>
      <c r="BT80" t="s">
        <v>28</v>
      </c>
      <c r="BU80" t="s">
        <v>2261</v>
      </c>
      <c r="BV80" t="s">
        <v>1937</v>
      </c>
      <c r="BW80" t="str">
        <f>HYPERLINK("https%3A%2F%2Fwww.webofscience.com%2Fwos%2Fwoscc%2Ffull-record%2FWOS:000312432200061","View Full Record in Web of Science")</f>
        <v>View Full Record in Web of Science</v>
      </c>
    </row>
    <row r="81" spans="1:75" x14ac:dyDescent="0.35">
      <c r="A81">
        <f>COUNTIF(Scopus!$E$2:$E$128,"="&amp;Tabelle6[[#This Row],[Article Title]])</f>
        <v>1</v>
      </c>
      <c r="B81">
        <v>1</v>
      </c>
      <c r="C81" s="1" t="s">
        <v>2148</v>
      </c>
      <c r="D81" t="s">
        <v>1321</v>
      </c>
      <c r="E81" t="s">
        <v>3127</v>
      </c>
      <c r="F81">
        <v>2018</v>
      </c>
      <c r="G81" t="s">
        <v>3129</v>
      </c>
      <c r="H81" t="s">
        <v>28</v>
      </c>
      <c r="I81" t="s">
        <v>28</v>
      </c>
      <c r="J81" t="s">
        <v>28</v>
      </c>
      <c r="K81" t="s">
        <v>3128</v>
      </c>
      <c r="L81" t="s">
        <v>28</v>
      </c>
      <c r="M81" t="s">
        <v>28</v>
      </c>
      <c r="N81" t="s">
        <v>3027</v>
      </c>
      <c r="O81" t="s">
        <v>28</v>
      </c>
      <c r="P81" t="s">
        <v>28</v>
      </c>
      <c r="Q81" t="s">
        <v>2242</v>
      </c>
      <c r="R81" t="s">
        <v>34</v>
      </c>
      <c r="S81" t="s">
        <v>28</v>
      </c>
      <c r="T81" t="s">
        <v>28</v>
      </c>
      <c r="U81" t="s">
        <v>28</v>
      </c>
      <c r="V81" t="s">
        <v>28</v>
      </c>
      <c r="W81" t="s">
        <v>28</v>
      </c>
      <c r="X81" t="s">
        <v>3130</v>
      </c>
      <c r="Y81" t="s">
        <v>3131</v>
      </c>
      <c r="Z81" t="s">
        <v>3132</v>
      </c>
      <c r="AA81" t="s">
        <v>3133</v>
      </c>
      <c r="AB81" t="s">
        <v>28</v>
      </c>
      <c r="AC81" t="s">
        <v>3134</v>
      </c>
      <c r="AD81" t="s">
        <v>3135</v>
      </c>
      <c r="AE81" t="s">
        <v>3136</v>
      </c>
      <c r="AF81" t="s">
        <v>3137</v>
      </c>
      <c r="AG81" t="s">
        <v>28</v>
      </c>
      <c r="AH81" t="s">
        <v>28</v>
      </c>
      <c r="AI81" t="s">
        <v>28</v>
      </c>
      <c r="AJ81" t="s">
        <v>28</v>
      </c>
      <c r="AK81">
        <v>75</v>
      </c>
      <c r="AL81">
        <v>18</v>
      </c>
      <c r="AM81">
        <v>18</v>
      </c>
      <c r="AN81">
        <v>3</v>
      </c>
      <c r="AO81">
        <v>18</v>
      </c>
      <c r="AP81" t="s">
        <v>3035</v>
      </c>
      <c r="AQ81" t="s">
        <v>3036</v>
      </c>
      <c r="AR81" t="s">
        <v>3037</v>
      </c>
      <c r="AS81" t="s">
        <v>3038</v>
      </c>
      <c r="AT81" t="s">
        <v>28</v>
      </c>
      <c r="AU81" t="s">
        <v>28</v>
      </c>
      <c r="AV81" t="s">
        <v>3039</v>
      </c>
      <c r="AW81" t="s">
        <v>472</v>
      </c>
      <c r="AX81" t="s">
        <v>3138</v>
      </c>
      <c r="AY81">
        <v>21</v>
      </c>
      <c r="AZ81">
        <v>3</v>
      </c>
      <c r="BA81" t="s">
        <v>28</v>
      </c>
      <c r="BB81" t="s">
        <v>28</v>
      </c>
      <c r="BC81" t="s">
        <v>28</v>
      </c>
      <c r="BD81" t="s">
        <v>28</v>
      </c>
      <c r="BE81" t="s">
        <v>28</v>
      </c>
      <c r="BF81" t="s">
        <v>28</v>
      </c>
      <c r="BG81">
        <v>3</v>
      </c>
      <c r="BH81" t="s">
        <v>473</v>
      </c>
      <c r="BI81" t="str">
        <f>HYPERLINK("http://dx.doi.org/10.18564/jasss.3729","http://dx.doi.org/10.18564/jasss.3729")</f>
        <v>http://dx.doi.org/10.18564/jasss.3729</v>
      </c>
      <c r="BJ81" t="s">
        <v>28</v>
      </c>
      <c r="BK81" t="s">
        <v>28</v>
      </c>
      <c r="BL81">
        <v>26</v>
      </c>
      <c r="BM81" t="s">
        <v>3019</v>
      </c>
      <c r="BN81" t="s">
        <v>2465</v>
      </c>
      <c r="BO81" t="s">
        <v>3020</v>
      </c>
      <c r="BP81" t="s">
        <v>3139</v>
      </c>
      <c r="BQ81" t="s">
        <v>28</v>
      </c>
      <c r="BR81" t="s">
        <v>3140</v>
      </c>
      <c r="BS81" t="s">
        <v>28</v>
      </c>
      <c r="BT81" t="s">
        <v>28</v>
      </c>
      <c r="BU81" t="s">
        <v>2261</v>
      </c>
      <c r="BV81" t="s">
        <v>3141</v>
      </c>
      <c r="BW81" t="str">
        <f>HYPERLINK("https%3A%2F%2Fwww.webofscience.com%2Fwos%2Fwoscc%2Ffull-record%2FWOS:000439852500003","View Full Record in Web of Science")</f>
        <v>View Full Record in Web of Science</v>
      </c>
    </row>
    <row r="82" spans="1:75" x14ac:dyDescent="0.35">
      <c r="A82">
        <f>COUNTIF(Scopus!$E$2:$E$128,"="&amp;Tabelle6[[#This Row],[Article Title]])</f>
        <v>0</v>
      </c>
      <c r="B82">
        <v>3</v>
      </c>
      <c r="C82" s="1" t="s">
        <v>2149</v>
      </c>
      <c r="D82" t="s">
        <v>1417</v>
      </c>
      <c r="E82" t="s">
        <v>2007</v>
      </c>
      <c r="F82">
        <v>2009</v>
      </c>
      <c r="G82" t="s">
        <v>2010</v>
      </c>
      <c r="H82" t="s">
        <v>28</v>
      </c>
      <c r="I82" t="s">
        <v>2008</v>
      </c>
      <c r="J82" t="s">
        <v>28</v>
      </c>
      <c r="K82" t="s">
        <v>2009</v>
      </c>
      <c r="L82" t="s">
        <v>28</v>
      </c>
      <c r="M82" t="s">
        <v>28</v>
      </c>
      <c r="N82" t="s">
        <v>2011</v>
      </c>
      <c r="O82" t="s">
        <v>2012</v>
      </c>
      <c r="P82" t="s">
        <v>28</v>
      </c>
      <c r="Q82" t="s">
        <v>2242</v>
      </c>
      <c r="R82" t="s">
        <v>2345</v>
      </c>
      <c r="S82" t="s">
        <v>2013</v>
      </c>
      <c r="T82" t="s">
        <v>2014</v>
      </c>
      <c r="U82" t="s">
        <v>2015</v>
      </c>
      <c r="V82" t="s">
        <v>28</v>
      </c>
      <c r="W82" t="s">
        <v>28</v>
      </c>
      <c r="X82" t="s">
        <v>28</v>
      </c>
      <c r="Y82" t="s">
        <v>28</v>
      </c>
      <c r="Z82" t="s">
        <v>3893</v>
      </c>
      <c r="AA82" t="s">
        <v>3894</v>
      </c>
      <c r="AB82" t="s">
        <v>28</v>
      </c>
      <c r="AC82" t="s">
        <v>3895</v>
      </c>
      <c r="AD82" t="s">
        <v>3896</v>
      </c>
      <c r="AE82" t="s">
        <v>2016</v>
      </c>
      <c r="AF82" t="s">
        <v>3897</v>
      </c>
      <c r="AG82" t="s">
        <v>28</v>
      </c>
      <c r="AH82" t="s">
        <v>28</v>
      </c>
      <c r="AI82" t="s">
        <v>28</v>
      </c>
      <c r="AJ82" t="s">
        <v>28</v>
      </c>
      <c r="AK82">
        <v>15</v>
      </c>
      <c r="AL82">
        <v>7</v>
      </c>
      <c r="AM82">
        <v>8</v>
      </c>
      <c r="AN82">
        <v>0</v>
      </c>
      <c r="AO82">
        <v>1</v>
      </c>
      <c r="AP82" t="s">
        <v>2473</v>
      </c>
      <c r="AQ82" t="s">
        <v>2474</v>
      </c>
      <c r="AR82" t="s">
        <v>2475</v>
      </c>
      <c r="AS82" t="s">
        <v>2017</v>
      </c>
      <c r="AT82" t="s">
        <v>2018</v>
      </c>
      <c r="AU82" t="s">
        <v>2019</v>
      </c>
      <c r="AV82" t="s">
        <v>2476</v>
      </c>
      <c r="AW82" t="s">
        <v>28</v>
      </c>
      <c r="AX82" t="s">
        <v>28</v>
      </c>
      <c r="AY82">
        <v>5517</v>
      </c>
      <c r="AZ82" t="s">
        <v>28</v>
      </c>
      <c r="BA82" t="s">
        <v>28</v>
      </c>
      <c r="BB82" t="s">
        <v>28</v>
      </c>
      <c r="BC82" t="s">
        <v>28</v>
      </c>
      <c r="BD82" t="s">
        <v>28</v>
      </c>
      <c r="BE82">
        <v>585</v>
      </c>
      <c r="BF82">
        <v>593</v>
      </c>
      <c r="BG82" t="s">
        <v>28</v>
      </c>
      <c r="BH82" t="s">
        <v>28</v>
      </c>
      <c r="BI82" t="s">
        <v>28</v>
      </c>
      <c r="BJ82" t="s">
        <v>28</v>
      </c>
      <c r="BK82" t="s">
        <v>28</v>
      </c>
      <c r="BL82">
        <v>9</v>
      </c>
      <c r="BM82" t="s">
        <v>3898</v>
      </c>
      <c r="BN82" t="s">
        <v>2357</v>
      </c>
      <c r="BO82" t="s">
        <v>3899</v>
      </c>
      <c r="BP82" t="s">
        <v>3900</v>
      </c>
      <c r="BQ82" t="s">
        <v>28</v>
      </c>
      <c r="BR82" t="s">
        <v>28</v>
      </c>
      <c r="BS82" t="s">
        <v>28</v>
      </c>
      <c r="BT82" t="s">
        <v>28</v>
      </c>
      <c r="BU82" t="s">
        <v>2261</v>
      </c>
      <c r="BV82" t="s">
        <v>2020</v>
      </c>
      <c r="BW82" t="str">
        <f>HYPERLINK("https%3A%2F%2Fwww.webofscience.com%2Fwos%2Fwoscc%2Ffull-record%2FWOS:000270081200074","View Full Record in Web of Science")</f>
        <v>View Full Record in Web of Science</v>
      </c>
    </row>
    <row r="83" spans="1:75" x14ac:dyDescent="0.35">
      <c r="A83">
        <f>COUNTIF(Scopus!$E$2:$E$128,"="&amp;Tabelle6[[#This Row],[Article Title]])</f>
        <v>0</v>
      </c>
      <c r="B83">
        <v>3</v>
      </c>
      <c r="C83" s="1" t="s">
        <v>2149</v>
      </c>
      <c r="D83" t="s">
        <v>1417</v>
      </c>
      <c r="E83" t="s">
        <v>2021</v>
      </c>
      <c r="F83">
        <v>2009</v>
      </c>
      <c r="G83" t="s">
        <v>2023</v>
      </c>
      <c r="H83" t="s">
        <v>28</v>
      </c>
      <c r="I83" t="s">
        <v>28</v>
      </c>
      <c r="J83" t="s">
        <v>1419</v>
      </c>
      <c r="K83" t="s">
        <v>2022</v>
      </c>
      <c r="L83" t="s">
        <v>28</v>
      </c>
      <c r="M83" t="s">
        <v>28</v>
      </c>
      <c r="N83" t="s">
        <v>2024</v>
      </c>
      <c r="O83" t="s">
        <v>2025</v>
      </c>
      <c r="P83" t="s">
        <v>28</v>
      </c>
      <c r="Q83" t="s">
        <v>2242</v>
      </c>
      <c r="R83" t="s">
        <v>2345</v>
      </c>
      <c r="S83" t="s">
        <v>2026</v>
      </c>
      <c r="T83" t="s">
        <v>2027</v>
      </c>
      <c r="U83" t="s">
        <v>2028</v>
      </c>
      <c r="V83" t="s">
        <v>28</v>
      </c>
      <c r="W83" t="s">
        <v>28</v>
      </c>
      <c r="X83" t="s">
        <v>28</v>
      </c>
      <c r="Y83" t="s">
        <v>28</v>
      </c>
      <c r="Z83" t="s">
        <v>3876</v>
      </c>
      <c r="AA83" t="s">
        <v>3877</v>
      </c>
      <c r="AB83" t="s">
        <v>28</v>
      </c>
      <c r="AC83" t="s">
        <v>3878</v>
      </c>
      <c r="AD83" t="s">
        <v>3879</v>
      </c>
      <c r="AE83" t="s">
        <v>28</v>
      </c>
      <c r="AF83" t="s">
        <v>2029</v>
      </c>
      <c r="AG83" t="s">
        <v>28</v>
      </c>
      <c r="AH83" t="s">
        <v>28</v>
      </c>
      <c r="AI83" t="s">
        <v>28</v>
      </c>
      <c r="AJ83" t="s">
        <v>28</v>
      </c>
      <c r="AK83">
        <v>13</v>
      </c>
      <c r="AL83">
        <v>7</v>
      </c>
      <c r="AM83">
        <v>7</v>
      </c>
      <c r="AN83">
        <v>0</v>
      </c>
      <c r="AO83">
        <v>1</v>
      </c>
      <c r="AP83" t="s">
        <v>1419</v>
      </c>
      <c r="AQ83" t="s">
        <v>2354</v>
      </c>
      <c r="AR83" t="s">
        <v>2691</v>
      </c>
      <c r="AS83" t="s">
        <v>2030</v>
      </c>
      <c r="AT83" t="s">
        <v>28</v>
      </c>
      <c r="AU83" t="s">
        <v>2031</v>
      </c>
      <c r="AV83" t="s">
        <v>3880</v>
      </c>
      <c r="AW83" t="s">
        <v>28</v>
      </c>
      <c r="AX83" t="s">
        <v>28</v>
      </c>
      <c r="AY83" t="s">
        <v>28</v>
      </c>
      <c r="AZ83" t="s">
        <v>28</v>
      </c>
      <c r="BA83" t="s">
        <v>28</v>
      </c>
      <c r="BB83" t="s">
        <v>28</v>
      </c>
      <c r="BC83" t="s">
        <v>28</v>
      </c>
      <c r="BD83" t="s">
        <v>28</v>
      </c>
      <c r="BE83">
        <v>1044</v>
      </c>
      <c r="BF83">
        <v>1049</v>
      </c>
      <c r="BG83" t="s">
        <v>28</v>
      </c>
      <c r="BH83" t="s">
        <v>2032</v>
      </c>
      <c r="BI83" t="str">
        <f>HYPERLINK("http://dx.doi.org/10.1109/MED.2009.5164684","http://dx.doi.org/10.1109/MED.2009.5164684")</f>
        <v>http://dx.doi.org/10.1109/MED.2009.5164684</v>
      </c>
      <c r="BJ83" t="s">
        <v>28</v>
      </c>
      <c r="BK83" t="s">
        <v>28</v>
      </c>
      <c r="BL83">
        <v>6</v>
      </c>
      <c r="BM83" t="s">
        <v>3881</v>
      </c>
      <c r="BN83" t="s">
        <v>2357</v>
      </c>
      <c r="BO83" t="s">
        <v>3881</v>
      </c>
      <c r="BP83" t="s">
        <v>3882</v>
      </c>
      <c r="BQ83" t="s">
        <v>28</v>
      </c>
      <c r="BR83" t="s">
        <v>28</v>
      </c>
      <c r="BS83" t="s">
        <v>28</v>
      </c>
      <c r="BT83" t="s">
        <v>28</v>
      </c>
      <c r="BU83" t="s">
        <v>2261</v>
      </c>
      <c r="BV83" t="s">
        <v>2033</v>
      </c>
      <c r="BW83" t="str">
        <f>HYPERLINK("https%3A%2F%2Fwww.webofscience.com%2Fwos%2Fwoscc%2Ffull-record%2FWOS:000280699600180","View Full Record in Web of Science")</f>
        <v>View Full Record in Web of Science</v>
      </c>
    </row>
    <row r="84" spans="1:75" x14ac:dyDescent="0.35">
      <c r="A84">
        <f>COUNTIF(Scopus!$E$2:$E$128,"="&amp;Tabelle6[[#This Row],[Article Title]])</f>
        <v>0</v>
      </c>
      <c r="B84">
        <v>1</v>
      </c>
      <c r="C84" s="1" t="s">
        <v>2148</v>
      </c>
      <c r="D84" t="s">
        <v>1321</v>
      </c>
      <c r="E84" t="s">
        <v>2450</v>
      </c>
      <c r="F84">
        <v>2005</v>
      </c>
      <c r="G84" t="s">
        <v>1231</v>
      </c>
      <c r="H84" t="s">
        <v>28</v>
      </c>
      <c r="I84" t="s">
        <v>28</v>
      </c>
      <c r="J84" t="s">
        <v>28</v>
      </c>
      <c r="K84" t="s">
        <v>2450</v>
      </c>
      <c r="L84" t="s">
        <v>28</v>
      </c>
      <c r="M84" t="s">
        <v>28</v>
      </c>
      <c r="N84" t="s">
        <v>2451</v>
      </c>
      <c r="O84" t="s">
        <v>28</v>
      </c>
      <c r="P84" t="s">
        <v>28</v>
      </c>
      <c r="Q84" t="s">
        <v>2242</v>
      </c>
      <c r="R84" t="s">
        <v>34</v>
      </c>
      <c r="S84" t="s">
        <v>28</v>
      </c>
      <c r="T84" t="s">
        <v>28</v>
      </c>
      <c r="U84" t="s">
        <v>28</v>
      </c>
      <c r="V84" t="s">
        <v>28</v>
      </c>
      <c r="W84" t="s">
        <v>28</v>
      </c>
      <c r="X84" t="s">
        <v>28</v>
      </c>
      <c r="Y84" t="s">
        <v>2452</v>
      </c>
      <c r="Z84" t="s">
        <v>2453</v>
      </c>
      <c r="AA84" t="s">
        <v>2454</v>
      </c>
      <c r="AB84" t="s">
        <v>28</v>
      </c>
      <c r="AC84" t="s">
        <v>2455</v>
      </c>
      <c r="AD84" t="s">
        <v>2456</v>
      </c>
      <c r="AE84" t="s">
        <v>2116</v>
      </c>
      <c r="AF84" t="s">
        <v>2117</v>
      </c>
      <c r="AG84" t="s">
        <v>28</v>
      </c>
      <c r="AH84" t="s">
        <v>28</v>
      </c>
      <c r="AI84" t="s">
        <v>28</v>
      </c>
      <c r="AJ84" t="s">
        <v>28</v>
      </c>
      <c r="AK84">
        <v>32</v>
      </c>
      <c r="AL84">
        <v>105</v>
      </c>
      <c r="AM84">
        <v>105</v>
      </c>
      <c r="AN84">
        <v>1</v>
      </c>
      <c r="AO84">
        <v>28</v>
      </c>
      <c r="AP84" t="s">
        <v>2457</v>
      </c>
      <c r="AQ84" t="s">
        <v>2458</v>
      </c>
      <c r="AR84" t="s">
        <v>2459</v>
      </c>
      <c r="AS84" t="s">
        <v>2460</v>
      </c>
      <c r="AT84" t="s">
        <v>2461</v>
      </c>
      <c r="AU84" t="s">
        <v>28</v>
      </c>
      <c r="AV84" t="s">
        <v>2462</v>
      </c>
      <c r="AW84" t="s">
        <v>2463</v>
      </c>
      <c r="AX84" t="s">
        <v>1596</v>
      </c>
      <c r="AY84">
        <v>110</v>
      </c>
      <c r="AZ84">
        <v>4</v>
      </c>
      <c r="BA84" t="s">
        <v>28</v>
      </c>
      <c r="BB84" t="s">
        <v>28</v>
      </c>
      <c r="BC84" t="s">
        <v>28</v>
      </c>
      <c r="BD84" t="s">
        <v>28</v>
      </c>
      <c r="BE84">
        <v>1095</v>
      </c>
      <c r="BF84">
        <v>1131</v>
      </c>
      <c r="BG84" t="s">
        <v>28</v>
      </c>
      <c r="BH84" t="s">
        <v>1234</v>
      </c>
      <c r="BI84" t="str">
        <f>HYPERLINK("http://dx.doi.org/10.1086/427320","http://dx.doi.org/10.1086/427320")</f>
        <v>http://dx.doi.org/10.1086/427320</v>
      </c>
      <c r="BJ84" t="s">
        <v>28</v>
      </c>
      <c r="BK84" t="s">
        <v>28</v>
      </c>
      <c r="BL84">
        <v>37</v>
      </c>
      <c r="BM84" t="s">
        <v>2464</v>
      </c>
      <c r="BN84" t="s">
        <v>2465</v>
      </c>
      <c r="BO84" t="s">
        <v>2464</v>
      </c>
      <c r="BP84" t="s">
        <v>2466</v>
      </c>
      <c r="BQ84" t="s">
        <v>28</v>
      </c>
      <c r="BR84" t="s">
        <v>2467</v>
      </c>
      <c r="BS84" t="s">
        <v>28</v>
      </c>
      <c r="BT84" t="s">
        <v>28</v>
      </c>
      <c r="BU84" t="s">
        <v>2261</v>
      </c>
      <c r="BV84" t="s">
        <v>2468</v>
      </c>
      <c r="BW84" t="str">
        <f>HYPERLINK("https%3A%2F%2Fwww.webofscience.com%2Fwos%2Fwoscc%2Ffull-record%2FWOS:000229472000009","View Full Record in Web of Science")</f>
        <v>View Full Record in Web of Science</v>
      </c>
    </row>
    <row r="85" spans="1:75" x14ac:dyDescent="0.35">
      <c r="A85">
        <f>COUNTIF(Scopus!$E$2:$E$128,"="&amp;Tabelle6[[#This Row],[Article Title]])</f>
        <v>0</v>
      </c>
      <c r="B85">
        <v>3</v>
      </c>
      <c r="C85" s="1" t="s">
        <v>2149</v>
      </c>
      <c r="D85" t="s">
        <v>1321</v>
      </c>
      <c r="E85" t="s">
        <v>1951</v>
      </c>
      <c r="F85">
        <v>2010</v>
      </c>
      <c r="G85" t="s">
        <v>1953</v>
      </c>
      <c r="H85" t="s">
        <v>28</v>
      </c>
      <c r="I85" t="s">
        <v>28</v>
      </c>
      <c r="J85" t="s">
        <v>28</v>
      </c>
      <c r="K85" t="s">
        <v>1952</v>
      </c>
      <c r="L85" t="s">
        <v>28</v>
      </c>
      <c r="M85" t="s">
        <v>28</v>
      </c>
      <c r="N85" t="s">
        <v>1623</v>
      </c>
      <c r="O85" t="s">
        <v>28</v>
      </c>
      <c r="P85" t="s">
        <v>28</v>
      </c>
      <c r="Q85" t="s">
        <v>2242</v>
      </c>
      <c r="R85" t="s">
        <v>34</v>
      </c>
      <c r="S85" t="s">
        <v>28</v>
      </c>
      <c r="T85" t="s">
        <v>28</v>
      </c>
      <c r="U85" t="s">
        <v>28</v>
      </c>
      <c r="V85" t="s">
        <v>28</v>
      </c>
      <c r="W85" t="s">
        <v>28</v>
      </c>
      <c r="X85" t="s">
        <v>3180</v>
      </c>
      <c r="Y85" t="s">
        <v>3181</v>
      </c>
      <c r="Z85" t="s">
        <v>3182</v>
      </c>
      <c r="AA85" t="s">
        <v>3183</v>
      </c>
      <c r="AB85" t="s">
        <v>28</v>
      </c>
      <c r="AC85" t="s">
        <v>3184</v>
      </c>
      <c r="AD85" t="s">
        <v>3185</v>
      </c>
      <c r="AE85" t="s">
        <v>1954</v>
      </c>
      <c r="AF85" t="s">
        <v>1955</v>
      </c>
      <c r="AG85" t="s">
        <v>3186</v>
      </c>
      <c r="AH85" t="s">
        <v>3187</v>
      </c>
      <c r="AI85" t="s">
        <v>3188</v>
      </c>
      <c r="AJ85" t="s">
        <v>28</v>
      </c>
      <c r="AK85">
        <v>33</v>
      </c>
      <c r="AL85">
        <v>47</v>
      </c>
      <c r="AM85">
        <v>50</v>
      </c>
      <c r="AN85">
        <v>3</v>
      </c>
      <c r="AO85">
        <v>59</v>
      </c>
      <c r="AP85" t="s">
        <v>2252</v>
      </c>
      <c r="AQ85" t="s">
        <v>2253</v>
      </c>
      <c r="AR85" t="s">
        <v>2254</v>
      </c>
      <c r="AS85" t="s">
        <v>1624</v>
      </c>
      <c r="AT85" t="s">
        <v>1625</v>
      </c>
      <c r="AU85" t="s">
        <v>28</v>
      </c>
      <c r="AV85" t="s">
        <v>2255</v>
      </c>
      <c r="AW85" t="s">
        <v>2256</v>
      </c>
      <c r="AX85" t="s">
        <v>1437</v>
      </c>
      <c r="AY85">
        <v>25</v>
      </c>
      <c r="AZ85">
        <v>11</v>
      </c>
      <c r="BA85" t="s">
        <v>28</v>
      </c>
      <c r="BB85" t="s">
        <v>28</v>
      </c>
      <c r="BC85" t="s">
        <v>28</v>
      </c>
      <c r="BD85" t="s">
        <v>28</v>
      </c>
      <c r="BE85">
        <v>1345</v>
      </c>
      <c r="BF85">
        <v>1358</v>
      </c>
      <c r="BG85" t="s">
        <v>28</v>
      </c>
      <c r="BH85" t="s">
        <v>1956</v>
      </c>
      <c r="BI85" t="str">
        <f>HYPERLINK("http://dx.doi.org/10.1016/j.envsoft.2010.01.012","http://dx.doi.org/10.1016/j.envsoft.2010.01.012")</f>
        <v>http://dx.doi.org/10.1016/j.envsoft.2010.01.012</v>
      </c>
      <c r="BJ85" t="s">
        <v>28</v>
      </c>
      <c r="BK85" t="s">
        <v>28</v>
      </c>
      <c r="BL85">
        <v>14</v>
      </c>
      <c r="BM85" t="s">
        <v>2257</v>
      </c>
      <c r="BN85" t="s">
        <v>2314</v>
      </c>
      <c r="BO85" t="s">
        <v>2259</v>
      </c>
      <c r="BP85" t="s">
        <v>3189</v>
      </c>
      <c r="BQ85" t="s">
        <v>28</v>
      </c>
      <c r="BR85" t="s">
        <v>28</v>
      </c>
      <c r="BS85" t="s">
        <v>28</v>
      </c>
      <c r="BT85" t="s">
        <v>28</v>
      </c>
      <c r="BU85" t="s">
        <v>2261</v>
      </c>
      <c r="BV85" t="s">
        <v>1957</v>
      </c>
      <c r="BW85" t="str">
        <f>HYPERLINK("https%3A%2F%2Fwww.webofscience.com%2Fwos%2Fwoscc%2Ffull-record%2FWOS:000279666700008","View Full Record in Web of Science")</f>
        <v>View Full Record in Web of Science</v>
      </c>
    </row>
    <row r="86" spans="1:75" x14ac:dyDescent="0.35">
      <c r="A86">
        <f>COUNTIF(Scopus!$E$2:$E$128,"="&amp;Tabelle6[[#This Row],[Article Title]])</f>
        <v>0</v>
      </c>
      <c r="B86">
        <v>3</v>
      </c>
      <c r="C86" s="1" t="s">
        <v>2149</v>
      </c>
      <c r="D86" t="s">
        <v>1321</v>
      </c>
      <c r="E86" t="s">
        <v>1461</v>
      </c>
      <c r="F86">
        <v>2020</v>
      </c>
      <c r="G86" t="s">
        <v>1463</v>
      </c>
      <c r="H86" t="s">
        <v>28</v>
      </c>
      <c r="I86" t="s">
        <v>28</v>
      </c>
      <c r="J86" t="s">
        <v>28</v>
      </c>
      <c r="K86" t="s">
        <v>1462</v>
      </c>
      <c r="L86" t="s">
        <v>28</v>
      </c>
      <c r="M86" t="s">
        <v>28</v>
      </c>
      <c r="N86" t="s">
        <v>1361</v>
      </c>
      <c r="O86" t="s">
        <v>28</v>
      </c>
      <c r="P86" t="s">
        <v>28</v>
      </c>
      <c r="Q86" t="s">
        <v>2242</v>
      </c>
      <c r="R86" t="s">
        <v>34</v>
      </c>
      <c r="S86" t="s">
        <v>28</v>
      </c>
      <c r="T86" t="s">
        <v>28</v>
      </c>
      <c r="U86" t="s">
        <v>28</v>
      </c>
      <c r="V86" t="s">
        <v>28</v>
      </c>
      <c r="W86" t="s">
        <v>28</v>
      </c>
      <c r="X86" t="s">
        <v>3239</v>
      </c>
      <c r="Y86" t="s">
        <v>3240</v>
      </c>
      <c r="Z86" t="s">
        <v>3241</v>
      </c>
      <c r="AA86" t="s">
        <v>3242</v>
      </c>
      <c r="AB86" t="s">
        <v>28</v>
      </c>
      <c r="AC86" t="s">
        <v>3243</v>
      </c>
      <c r="AD86" t="s">
        <v>3244</v>
      </c>
      <c r="AE86" t="s">
        <v>28</v>
      </c>
      <c r="AF86" t="s">
        <v>1464</v>
      </c>
      <c r="AG86" t="s">
        <v>3245</v>
      </c>
      <c r="AH86" t="s">
        <v>3245</v>
      </c>
      <c r="AI86" t="s">
        <v>3246</v>
      </c>
      <c r="AJ86" t="s">
        <v>28</v>
      </c>
      <c r="AK86">
        <v>58</v>
      </c>
      <c r="AL86">
        <v>28</v>
      </c>
      <c r="AM86">
        <v>28</v>
      </c>
      <c r="AN86">
        <v>8</v>
      </c>
      <c r="AO86">
        <v>67</v>
      </c>
      <c r="AP86" t="s">
        <v>2252</v>
      </c>
      <c r="AQ86" t="s">
        <v>2253</v>
      </c>
      <c r="AR86" t="s">
        <v>2254</v>
      </c>
      <c r="AS86" t="s">
        <v>1362</v>
      </c>
      <c r="AT86" t="s">
        <v>1363</v>
      </c>
      <c r="AU86" t="s">
        <v>28</v>
      </c>
      <c r="AV86" t="s">
        <v>2879</v>
      </c>
      <c r="AW86" t="s">
        <v>2880</v>
      </c>
      <c r="AX86" t="s">
        <v>1465</v>
      </c>
      <c r="AY86">
        <v>255</v>
      </c>
      <c r="AZ86" t="s">
        <v>28</v>
      </c>
      <c r="BA86" t="s">
        <v>28</v>
      </c>
      <c r="BB86" t="s">
        <v>28</v>
      </c>
      <c r="BC86" t="s">
        <v>28</v>
      </c>
      <c r="BD86" t="s">
        <v>28</v>
      </c>
      <c r="BE86" t="s">
        <v>28</v>
      </c>
      <c r="BF86" t="s">
        <v>28</v>
      </c>
      <c r="BG86">
        <v>120296</v>
      </c>
      <c r="BH86" t="s">
        <v>239</v>
      </c>
      <c r="BI86" t="str">
        <f>HYPERLINK("http://dx.doi.org/10.1016/j.jclepro.2020.120296","http://dx.doi.org/10.1016/j.jclepro.2020.120296")</f>
        <v>http://dx.doi.org/10.1016/j.jclepro.2020.120296</v>
      </c>
      <c r="BJ86" t="s">
        <v>28</v>
      </c>
      <c r="BK86" t="s">
        <v>28</v>
      </c>
      <c r="BL86">
        <v>21</v>
      </c>
      <c r="BM86" t="s">
        <v>2882</v>
      </c>
      <c r="BN86" t="s">
        <v>2258</v>
      </c>
      <c r="BO86" t="s">
        <v>2883</v>
      </c>
      <c r="BP86" t="s">
        <v>3247</v>
      </c>
      <c r="BQ86" t="s">
        <v>28</v>
      </c>
      <c r="BR86" t="s">
        <v>2438</v>
      </c>
      <c r="BS86" t="s">
        <v>28</v>
      </c>
      <c r="BT86" t="s">
        <v>28</v>
      </c>
      <c r="BU86" t="s">
        <v>2261</v>
      </c>
      <c r="BV86" t="s">
        <v>1466</v>
      </c>
      <c r="BW86" t="str">
        <f>HYPERLINK("https%3A%2F%2Fwww.webofscience.com%2Fwos%2Fwoscc%2Ffull-record%2FWOS:000520953200111","View Full Record in Web of Science")</f>
        <v>View Full Record in Web of Science</v>
      </c>
    </row>
    <row r="87" spans="1:75" x14ac:dyDescent="0.35">
      <c r="A87">
        <f>COUNTIF(Scopus!$E$2:$E$128,"="&amp;Tabelle6[[#This Row],[Article Title]])</f>
        <v>0</v>
      </c>
      <c r="B87">
        <v>3</v>
      </c>
      <c r="C87" s="1" t="s">
        <v>2149</v>
      </c>
      <c r="D87" t="s">
        <v>1321</v>
      </c>
      <c r="E87" t="s">
        <v>1682</v>
      </c>
      <c r="F87">
        <v>2017</v>
      </c>
      <c r="G87" t="s">
        <v>1684</v>
      </c>
      <c r="H87" t="s">
        <v>28</v>
      </c>
      <c r="I87" t="s">
        <v>28</v>
      </c>
      <c r="J87" t="s">
        <v>28</v>
      </c>
      <c r="K87" t="s">
        <v>1683</v>
      </c>
      <c r="L87" t="s">
        <v>28</v>
      </c>
      <c r="M87" t="s">
        <v>28</v>
      </c>
      <c r="N87" t="s">
        <v>1685</v>
      </c>
      <c r="O87" t="s">
        <v>28</v>
      </c>
      <c r="P87" t="s">
        <v>28</v>
      </c>
      <c r="Q87" t="s">
        <v>2242</v>
      </c>
      <c r="R87" t="s">
        <v>34</v>
      </c>
      <c r="S87" t="s">
        <v>28</v>
      </c>
      <c r="T87" t="s">
        <v>28</v>
      </c>
      <c r="U87" t="s">
        <v>28</v>
      </c>
      <c r="V87" t="s">
        <v>28</v>
      </c>
      <c r="W87" t="s">
        <v>28</v>
      </c>
      <c r="X87" t="s">
        <v>3346</v>
      </c>
      <c r="Y87" t="s">
        <v>3347</v>
      </c>
      <c r="Z87" t="s">
        <v>3348</v>
      </c>
      <c r="AA87" t="s">
        <v>3349</v>
      </c>
      <c r="AB87" t="s">
        <v>28</v>
      </c>
      <c r="AC87" t="s">
        <v>3350</v>
      </c>
      <c r="AD87" t="s">
        <v>3351</v>
      </c>
      <c r="AE87" t="s">
        <v>1686</v>
      </c>
      <c r="AF87" t="s">
        <v>3352</v>
      </c>
      <c r="AG87" t="s">
        <v>3353</v>
      </c>
      <c r="AH87" t="s">
        <v>3354</v>
      </c>
      <c r="AI87" t="s">
        <v>3355</v>
      </c>
      <c r="AJ87" t="s">
        <v>28</v>
      </c>
      <c r="AK87">
        <v>60</v>
      </c>
      <c r="AL87">
        <v>26</v>
      </c>
      <c r="AM87">
        <v>26</v>
      </c>
      <c r="AN87">
        <v>2</v>
      </c>
      <c r="AO87">
        <v>34</v>
      </c>
      <c r="AP87" t="s">
        <v>2500</v>
      </c>
      <c r="AQ87" t="s">
        <v>2253</v>
      </c>
      <c r="AR87" t="s">
        <v>2501</v>
      </c>
      <c r="AS87" t="s">
        <v>1687</v>
      </c>
      <c r="AT87" t="s">
        <v>28</v>
      </c>
      <c r="AU87" t="s">
        <v>28</v>
      </c>
      <c r="AV87" t="s">
        <v>3356</v>
      </c>
      <c r="AW87" t="s">
        <v>3357</v>
      </c>
      <c r="AX87" t="s">
        <v>1559</v>
      </c>
      <c r="AY87">
        <v>180</v>
      </c>
      <c r="AZ87" t="s">
        <v>28</v>
      </c>
      <c r="BA87" t="s">
        <v>28</v>
      </c>
      <c r="BB87" t="s">
        <v>28</v>
      </c>
      <c r="BC87" t="s">
        <v>28</v>
      </c>
      <c r="BD87" t="s">
        <v>28</v>
      </c>
      <c r="BE87">
        <v>181</v>
      </c>
      <c r="BF87">
        <v>192</v>
      </c>
      <c r="BG87" t="s">
        <v>28</v>
      </c>
      <c r="BH87" t="s">
        <v>1688</v>
      </c>
      <c r="BI87" t="str">
        <f>HYPERLINK("http://dx.doi.org/10.1016/j.socscimed.2016.08.049","http://dx.doi.org/10.1016/j.socscimed.2016.08.049")</f>
        <v>http://dx.doi.org/10.1016/j.socscimed.2016.08.049</v>
      </c>
      <c r="BJ87" t="s">
        <v>28</v>
      </c>
      <c r="BK87" t="s">
        <v>28</v>
      </c>
      <c r="BL87">
        <v>12</v>
      </c>
      <c r="BM87" t="s">
        <v>3358</v>
      </c>
      <c r="BN87" t="s">
        <v>2258</v>
      </c>
      <c r="BO87" t="s">
        <v>3359</v>
      </c>
      <c r="BP87" t="s">
        <v>3360</v>
      </c>
      <c r="BQ87">
        <v>27614366</v>
      </c>
      <c r="BR87" t="s">
        <v>2438</v>
      </c>
      <c r="BS87" t="s">
        <v>28</v>
      </c>
      <c r="BT87" t="s">
        <v>28</v>
      </c>
      <c r="BU87" t="s">
        <v>2261</v>
      </c>
      <c r="BV87" t="s">
        <v>1689</v>
      </c>
      <c r="BW87" t="str">
        <f>HYPERLINK("https%3A%2F%2Fwww.webofscience.com%2Fwos%2Fwoscc%2Ffull-record%2FWOS:000400216500021","View Full Record in Web of Science")</f>
        <v>View Full Record in Web of Science</v>
      </c>
    </row>
    <row r="88" spans="1:75" x14ac:dyDescent="0.35">
      <c r="A88">
        <f>COUNTIF(Scopus!$E$2:$E$128,"="&amp;Tabelle6[[#This Row],[Article Title]])</f>
        <v>1</v>
      </c>
      <c r="B88">
        <v>1</v>
      </c>
      <c r="C88" s="1" t="s">
        <v>2148</v>
      </c>
      <c r="D88" t="s">
        <v>1321</v>
      </c>
      <c r="E88" t="s">
        <v>3901</v>
      </c>
      <c r="F88">
        <v>2020</v>
      </c>
      <c r="G88" t="s">
        <v>3903</v>
      </c>
      <c r="H88" t="s">
        <v>28</v>
      </c>
      <c r="I88" t="s">
        <v>28</v>
      </c>
      <c r="J88" t="s">
        <v>28</v>
      </c>
      <c r="K88" t="s">
        <v>3902</v>
      </c>
      <c r="L88" t="s">
        <v>28</v>
      </c>
      <c r="M88" t="s">
        <v>28</v>
      </c>
      <c r="N88" t="s">
        <v>3904</v>
      </c>
      <c r="O88" t="s">
        <v>28</v>
      </c>
      <c r="P88" t="s">
        <v>28</v>
      </c>
      <c r="Q88" t="s">
        <v>2242</v>
      </c>
      <c r="R88" t="s">
        <v>34</v>
      </c>
      <c r="S88" t="s">
        <v>28</v>
      </c>
      <c r="T88" t="s">
        <v>28</v>
      </c>
      <c r="U88" t="s">
        <v>28</v>
      </c>
      <c r="V88" t="s">
        <v>28</v>
      </c>
      <c r="W88" t="s">
        <v>28</v>
      </c>
      <c r="X88" t="s">
        <v>231</v>
      </c>
      <c r="Y88" t="s">
        <v>3905</v>
      </c>
      <c r="Z88" t="s">
        <v>3906</v>
      </c>
      <c r="AA88" t="s">
        <v>3907</v>
      </c>
      <c r="AB88" t="s">
        <v>28</v>
      </c>
      <c r="AC88" t="s">
        <v>3908</v>
      </c>
      <c r="AD88" t="s">
        <v>28</v>
      </c>
      <c r="AE88" t="s">
        <v>3909</v>
      </c>
      <c r="AF88" t="s">
        <v>3910</v>
      </c>
      <c r="AG88" t="s">
        <v>3911</v>
      </c>
      <c r="AH88" t="s">
        <v>3912</v>
      </c>
      <c r="AI88" t="s">
        <v>3913</v>
      </c>
      <c r="AJ88" t="s">
        <v>28</v>
      </c>
      <c r="AK88">
        <v>29</v>
      </c>
      <c r="AL88">
        <v>4</v>
      </c>
      <c r="AM88">
        <v>4</v>
      </c>
      <c r="AN88">
        <v>0</v>
      </c>
      <c r="AO88">
        <v>1</v>
      </c>
      <c r="AP88" t="s">
        <v>3914</v>
      </c>
      <c r="AQ88" t="s">
        <v>3915</v>
      </c>
      <c r="AR88" t="s">
        <v>3916</v>
      </c>
      <c r="AS88" t="s">
        <v>3917</v>
      </c>
      <c r="AT88" t="s">
        <v>3918</v>
      </c>
      <c r="AU88" t="s">
        <v>28</v>
      </c>
      <c r="AV88" t="s">
        <v>3919</v>
      </c>
      <c r="AW88" t="s">
        <v>3920</v>
      </c>
      <c r="AX88" t="s">
        <v>3921</v>
      </c>
      <c r="AY88">
        <v>16</v>
      </c>
      <c r="AZ88">
        <v>3</v>
      </c>
      <c r="BA88" t="s">
        <v>28</v>
      </c>
      <c r="BB88" t="s">
        <v>28</v>
      </c>
      <c r="BC88" t="s">
        <v>28</v>
      </c>
      <c r="BD88" t="s">
        <v>28</v>
      </c>
      <c r="BE88">
        <v>52</v>
      </c>
      <c r="BF88">
        <v>79</v>
      </c>
      <c r="BG88" t="s">
        <v>28</v>
      </c>
      <c r="BH88" t="s">
        <v>228</v>
      </c>
      <c r="BI88" t="str">
        <f>HYPERLINK("http://dx.doi.org/10.4018/IJIIT.2020070103","http://dx.doi.org/10.4018/IJIIT.2020070103")</f>
        <v>http://dx.doi.org/10.4018/IJIIT.2020070103</v>
      </c>
      <c r="BJ88" t="s">
        <v>28</v>
      </c>
      <c r="BK88" t="s">
        <v>28</v>
      </c>
      <c r="BL88">
        <v>28</v>
      </c>
      <c r="BM88" t="s">
        <v>3922</v>
      </c>
      <c r="BN88" t="s">
        <v>2771</v>
      </c>
      <c r="BO88" t="s">
        <v>2315</v>
      </c>
      <c r="BP88" t="s">
        <v>3923</v>
      </c>
      <c r="BQ88" t="s">
        <v>28</v>
      </c>
      <c r="BR88" t="s">
        <v>28</v>
      </c>
      <c r="BS88" t="s">
        <v>28</v>
      </c>
      <c r="BT88" t="s">
        <v>28</v>
      </c>
      <c r="BU88" t="s">
        <v>2261</v>
      </c>
      <c r="BV88" t="s">
        <v>3924</v>
      </c>
      <c r="BW88" t="str">
        <f>HYPERLINK("https%3A%2F%2Fwww.webofscience.com%2Fwos%2Fwoscc%2Ffull-record%2FWOS:000547485200003","View Full Record in Web of Science")</f>
        <v>View Full Record in Web of Science</v>
      </c>
    </row>
    <row r="89" spans="1:75" x14ac:dyDescent="0.35">
      <c r="A89">
        <f>COUNTIF(Scopus!$E$2:$E$128,"="&amp;Tabelle6[[#This Row],[Article Title]])</f>
        <v>1</v>
      </c>
      <c r="B89">
        <v>1</v>
      </c>
      <c r="C89" s="1" t="s">
        <v>2148</v>
      </c>
      <c r="D89" t="s">
        <v>1321</v>
      </c>
      <c r="E89" t="s">
        <v>1432</v>
      </c>
      <c r="F89">
        <v>2020</v>
      </c>
      <c r="G89" t="s">
        <v>213</v>
      </c>
      <c r="H89" t="s">
        <v>28</v>
      </c>
      <c r="I89" t="s">
        <v>28</v>
      </c>
      <c r="J89" t="s">
        <v>28</v>
      </c>
      <c r="K89" t="s">
        <v>1433</v>
      </c>
      <c r="L89" t="s">
        <v>28</v>
      </c>
      <c r="M89" t="s">
        <v>28</v>
      </c>
      <c r="N89" t="s">
        <v>1434</v>
      </c>
      <c r="O89" t="s">
        <v>28</v>
      </c>
      <c r="P89" t="s">
        <v>28</v>
      </c>
      <c r="Q89" t="s">
        <v>2242</v>
      </c>
      <c r="R89" t="s">
        <v>34</v>
      </c>
      <c r="S89" t="s">
        <v>28</v>
      </c>
      <c r="T89" t="s">
        <v>28</v>
      </c>
      <c r="U89" t="s">
        <v>28</v>
      </c>
      <c r="V89" t="s">
        <v>28</v>
      </c>
      <c r="W89" t="s">
        <v>28</v>
      </c>
      <c r="X89" t="s">
        <v>2849</v>
      </c>
      <c r="Y89" t="s">
        <v>2850</v>
      </c>
      <c r="Z89" t="s">
        <v>2851</v>
      </c>
      <c r="AA89" t="s">
        <v>2852</v>
      </c>
      <c r="AB89" t="s">
        <v>28</v>
      </c>
      <c r="AC89" t="s">
        <v>2853</v>
      </c>
      <c r="AD89" t="s">
        <v>2854</v>
      </c>
      <c r="AE89" t="s">
        <v>2855</v>
      </c>
      <c r="AF89" t="s">
        <v>2856</v>
      </c>
      <c r="AG89" t="s">
        <v>2857</v>
      </c>
      <c r="AH89" t="s">
        <v>2858</v>
      </c>
      <c r="AI89" t="s">
        <v>2859</v>
      </c>
      <c r="AJ89" t="s">
        <v>28</v>
      </c>
      <c r="AK89">
        <v>70</v>
      </c>
      <c r="AL89">
        <v>7</v>
      </c>
      <c r="AM89">
        <v>7</v>
      </c>
      <c r="AN89">
        <v>10</v>
      </c>
      <c r="AO89">
        <v>36</v>
      </c>
      <c r="AP89" t="s">
        <v>2860</v>
      </c>
      <c r="AQ89" t="s">
        <v>2861</v>
      </c>
      <c r="AR89" t="s">
        <v>2862</v>
      </c>
      <c r="AS89" t="s">
        <v>1435</v>
      </c>
      <c r="AT89" t="s">
        <v>1436</v>
      </c>
      <c r="AU89" t="s">
        <v>28</v>
      </c>
      <c r="AV89" t="s">
        <v>2863</v>
      </c>
      <c r="AW89" t="s">
        <v>2864</v>
      </c>
      <c r="AX89" t="s">
        <v>1437</v>
      </c>
      <c r="AY89">
        <v>146</v>
      </c>
      <c r="AZ89">
        <v>11</v>
      </c>
      <c r="BA89" t="s">
        <v>28</v>
      </c>
      <c r="BB89" t="s">
        <v>28</v>
      </c>
      <c r="BC89" t="s">
        <v>28</v>
      </c>
      <c r="BD89" t="s">
        <v>28</v>
      </c>
      <c r="BE89" t="s">
        <v>28</v>
      </c>
      <c r="BF89" t="s">
        <v>28</v>
      </c>
      <c r="BG89">
        <v>4020250</v>
      </c>
      <c r="BH89" t="s">
        <v>217</v>
      </c>
      <c r="BI89" t="str">
        <f>HYPERLINK("http://dx.doi.org/10.1061/(ASCE)ST.1943-541X.0002810","http://dx.doi.org/10.1061/(ASCE)ST.1943-541X.0002810")</f>
        <v>http://dx.doi.org/10.1061/(ASCE)ST.1943-541X.0002810</v>
      </c>
      <c r="BJ89" t="s">
        <v>28</v>
      </c>
      <c r="BK89" t="s">
        <v>28</v>
      </c>
      <c r="BL89">
        <v>20</v>
      </c>
      <c r="BM89" t="s">
        <v>2865</v>
      </c>
      <c r="BN89" t="s">
        <v>2314</v>
      </c>
      <c r="BO89" t="s">
        <v>2866</v>
      </c>
      <c r="BP89" t="s">
        <v>2867</v>
      </c>
      <c r="BQ89" t="s">
        <v>28</v>
      </c>
      <c r="BR89" t="s">
        <v>28</v>
      </c>
      <c r="BS89" t="s">
        <v>28</v>
      </c>
      <c r="BT89" t="s">
        <v>28</v>
      </c>
      <c r="BU89" t="s">
        <v>2261</v>
      </c>
      <c r="BV89" t="s">
        <v>1438</v>
      </c>
      <c r="BW89" t="str">
        <f>HYPERLINK("https%3A%2F%2Fwww.webofscience.com%2Fwos%2Fwoscc%2Ffull-record%2FWOS:000574867900010","View Full Record in Web of Science")</f>
        <v>View Full Record in Web of Science</v>
      </c>
    </row>
    <row r="90" spans="1:75" ht="14.5" customHeight="1" x14ac:dyDescent="0.35">
      <c r="A90">
        <f>COUNTIF(Scopus!$E$2:$E$128,"="&amp;Tabelle6[[#This Row],[Article Title]])</f>
        <v>0</v>
      </c>
      <c r="B90">
        <v>0</v>
      </c>
      <c r="C90" t="s">
        <v>4532</v>
      </c>
      <c r="D90" t="s">
        <v>1321</v>
      </c>
      <c r="E90" t="s">
        <v>3662</v>
      </c>
      <c r="F90">
        <v>2022</v>
      </c>
      <c r="G90" s="5" t="s">
        <v>3664</v>
      </c>
      <c r="H90" t="s">
        <v>28</v>
      </c>
      <c r="I90" t="s">
        <v>28</v>
      </c>
      <c r="J90" t="s">
        <v>28</v>
      </c>
      <c r="K90" t="s">
        <v>3663</v>
      </c>
      <c r="L90" t="s">
        <v>28</v>
      </c>
      <c r="M90" t="s">
        <v>28</v>
      </c>
      <c r="N90" t="s">
        <v>3027</v>
      </c>
      <c r="O90" t="s">
        <v>28</v>
      </c>
      <c r="P90" t="s">
        <v>28</v>
      </c>
      <c r="Q90" t="s">
        <v>2242</v>
      </c>
      <c r="R90" t="s">
        <v>34</v>
      </c>
      <c r="S90" t="s">
        <v>28</v>
      </c>
      <c r="T90" t="s">
        <v>28</v>
      </c>
      <c r="U90" t="s">
        <v>28</v>
      </c>
      <c r="V90" t="s">
        <v>28</v>
      </c>
      <c r="W90" t="s">
        <v>28</v>
      </c>
      <c r="X90" t="s">
        <v>3665</v>
      </c>
      <c r="Y90" t="s">
        <v>3666</v>
      </c>
      <c r="Z90" t="s">
        <v>3667</v>
      </c>
      <c r="AA90" t="s">
        <v>3668</v>
      </c>
      <c r="AB90" t="s">
        <v>28</v>
      </c>
      <c r="AC90" t="s">
        <v>3669</v>
      </c>
      <c r="AD90" t="s">
        <v>3670</v>
      </c>
      <c r="AE90" t="s">
        <v>3671</v>
      </c>
      <c r="AF90" t="s">
        <v>3672</v>
      </c>
      <c r="AG90" t="s">
        <v>3673</v>
      </c>
      <c r="AH90" t="s">
        <v>3674</v>
      </c>
      <c r="AI90" t="s">
        <v>3675</v>
      </c>
      <c r="AJ90" t="s">
        <v>28</v>
      </c>
      <c r="AK90">
        <v>50</v>
      </c>
      <c r="AL90">
        <v>0</v>
      </c>
      <c r="AM90">
        <v>0</v>
      </c>
      <c r="AN90">
        <v>0</v>
      </c>
      <c r="AO90">
        <v>0</v>
      </c>
      <c r="AP90" t="s">
        <v>3035</v>
      </c>
      <c r="AQ90" t="s">
        <v>3036</v>
      </c>
      <c r="AR90" t="s">
        <v>3037</v>
      </c>
      <c r="AS90" t="s">
        <v>3038</v>
      </c>
      <c r="AT90" t="s">
        <v>28</v>
      </c>
      <c r="AU90" t="s">
        <v>28</v>
      </c>
      <c r="AV90" t="s">
        <v>3039</v>
      </c>
      <c r="AW90" t="s">
        <v>472</v>
      </c>
      <c r="AX90" t="s">
        <v>3676</v>
      </c>
      <c r="AY90">
        <v>25</v>
      </c>
      <c r="AZ90">
        <v>2</v>
      </c>
      <c r="BA90" t="s">
        <v>28</v>
      </c>
      <c r="BB90" t="s">
        <v>28</v>
      </c>
      <c r="BC90" t="s">
        <v>28</v>
      </c>
      <c r="BD90" t="s">
        <v>28</v>
      </c>
      <c r="BE90" t="s">
        <v>28</v>
      </c>
      <c r="BF90" t="s">
        <v>28</v>
      </c>
      <c r="BG90">
        <v>7</v>
      </c>
      <c r="BH90" t="s">
        <v>3677</v>
      </c>
      <c r="BI90" t="str">
        <f>HYPERLINK("http://dx.doi.org/10.18564/jasss.4793","http://dx.doi.org/10.18564/jasss.4793")</f>
        <v>http://dx.doi.org/10.18564/jasss.4793</v>
      </c>
      <c r="BJ90" t="s">
        <v>28</v>
      </c>
      <c r="BK90" t="s">
        <v>28</v>
      </c>
      <c r="BL90">
        <v>19</v>
      </c>
      <c r="BM90" t="s">
        <v>3019</v>
      </c>
      <c r="BN90" t="s">
        <v>2465</v>
      </c>
      <c r="BO90" t="s">
        <v>3020</v>
      </c>
      <c r="BP90" t="s">
        <v>3678</v>
      </c>
      <c r="BQ90" t="s">
        <v>28</v>
      </c>
      <c r="BR90" t="s">
        <v>2530</v>
      </c>
      <c r="BS90" t="s">
        <v>28</v>
      </c>
      <c r="BT90" t="s">
        <v>28</v>
      </c>
      <c r="BU90" t="s">
        <v>2261</v>
      </c>
      <c r="BV90" t="s">
        <v>3679</v>
      </c>
      <c r="BW90" t="str">
        <f>HYPERLINK("https%3A%2F%2Fwww.webofscience.com%2Fwos%2Fwoscc%2Ffull-record%2FWOS:000780449500002","View Full Record in Web of Science")</f>
        <v>View Full Record in Web of Science</v>
      </c>
    </row>
    <row r="91" spans="1:75" ht="17.5" customHeight="1" x14ac:dyDescent="0.35">
      <c r="A91">
        <f>COUNTIF(Scopus!$E$2:$E$128,"="&amp;Tabelle6[[#This Row],[Article Title]])</f>
        <v>0</v>
      </c>
      <c r="B91">
        <v>3</v>
      </c>
      <c r="C91" s="1" t="s">
        <v>2149</v>
      </c>
      <c r="D91" t="s">
        <v>1321</v>
      </c>
      <c r="E91" t="s">
        <v>3717</v>
      </c>
      <c r="F91">
        <v>2018</v>
      </c>
      <c r="G91" s="5" t="s">
        <v>3719</v>
      </c>
      <c r="H91" t="s">
        <v>28</v>
      </c>
      <c r="I91" t="s">
        <v>28</v>
      </c>
      <c r="J91" t="s">
        <v>28</v>
      </c>
      <c r="K91" t="s">
        <v>3718</v>
      </c>
      <c r="L91" t="s">
        <v>28</v>
      </c>
      <c r="M91" t="s">
        <v>28</v>
      </c>
      <c r="N91" t="s">
        <v>3720</v>
      </c>
      <c r="O91" t="s">
        <v>28</v>
      </c>
      <c r="P91" t="s">
        <v>28</v>
      </c>
      <c r="Q91" t="s">
        <v>2242</v>
      </c>
      <c r="R91" t="s">
        <v>34</v>
      </c>
      <c r="S91" t="s">
        <v>28</v>
      </c>
      <c r="T91" t="s">
        <v>28</v>
      </c>
      <c r="U91" t="s">
        <v>28</v>
      </c>
      <c r="V91" t="s">
        <v>28</v>
      </c>
      <c r="W91" t="s">
        <v>28</v>
      </c>
      <c r="X91" t="s">
        <v>3721</v>
      </c>
      <c r="Y91" t="s">
        <v>28</v>
      </c>
      <c r="Z91" t="s">
        <v>3722</v>
      </c>
      <c r="AA91" t="s">
        <v>3723</v>
      </c>
      <c r="AB91" t="s">
        <v>28</v>
      </c>
      <c r="AC91" t="s">
        <v>3724</v>
      </c>
      <c r="AD91" t="s">
        <v>3725</v>
      </c>
      <c r="AE91" t="s">
        <v>3726</v>
      </c>
      <c r="AF91" t="s">
        <v>3727</v>
      </c>
      <c r="AG91" t="s">
        <v>3728</v>
      </c>
      <c r="AH91" t="s">
        <v>3729</v>
      </c>
      <c r="AI91" t="s">
        <v>3730</v>
      </c>
      <c r="AJ91" t="s">
        <v>28</v>
      </c>
      <c r="AK91">
        <v>14</v>
      </c>
      <c r="AL91">
        <v>1</v>
      </c>
      <c r="AM91">
        <v>1</v>
      </c>
      <c r="AN91">
        <v>0</v>
      </c>
      <c r="AO91">
        <v>1</v>
      </c>
      <c r="AP91" t="s">
        <v>3731</v>
      </c>
      <c r="AQ91" t="s">
        <v>3732</v>
      </c>
      <c r="AR91" t="s">
        <v>3733</v>
      </c>
      <c r="AS91" t="s">
        <v>3734</v>
      </c>
      <c r="AT91" t="s">
        <v>3735</v>
      </c>
      <c r="AU91" t="s">
        <v>28</v>
      </c>
      <c r="AV91" t="s">
        <v>3736</v>
      </c>
      <c r="AW91" t="s">
        <v>3737</v>
      </c>
      <c r="AX91" t="s">
        <v>1701</v>
      </c>
      <c r="AY91">
        <v>13</v>
      </c>
      <c r="AZ91">
        <v>2</v>
      </c>
      <c r="BA91" t="s">
        <v>28</v>
      </c>
      <c r="BB91" t="s">
        <v>28</v>
      </c>
      <c r="BC91" t="s">
        <v>1639</v>
      </c>
      <c r="BD91" t="s">
        <v>28</v>
      </c>
      <c r="BE91">
        <v>272</v>
      </c>
      <c r="BF91">
        <v>280</v>
      </c>
      <c r="BG91" t="s">
        <v>28</v>
      </c>
      <c r="BH91" t="s">
        <v>3738</v>
      </c>
      <c r="BI91" t="str">
        <f>HYPERLINK("http://dx.doi.org/10.20965/jdr.2018.p0272","http://dx.doi.org/10.20965/jdr.2018.p0272")</f>
        <v>http://dx.doi.org/10.20965/jdr.2018.p0272</v>
      </c>
      <c r="BJ91" t="s">
        <v>28</v>
      </c>
      <c r="BK91" t="s">
        <v>28</v>
      </c>
      <c r="BL91">
        <v>9</v>
      </c>
      <c r="BM91" t="s">
        <v>3739</v>
      </c>
      <c r="BN91" t="s">
        <v>2771</v>
      </c>
      <c r="BO91" t="s">
        <v>3740</v>
      </c>
      <c r="BP91" t="s">
        <v>3741</v>
      </c>
      <c r="BQ91" t="s">
        <v>28</v>
      </c>
      <c r="BR91" t="s">
        <v>2530</v>
      </c>
      <c r="BS91" t="s">
        <v>28</v>
      </c>
      <c r="BT91" t="s">
        <v>28</v>
      </c>
      <c r="BU91" t="s">
        <v>2261</v>
      </c>
      <c r="BV91" t="s">
        <v>3742</v>
      </c>
      <c r="BW91" t="str">
        <f>HYPERLINK("https%3A%2F%2Fwww.webofscience.com%2Fwos%2Fwoscc%2Ffull-record%2FWOS:000428047400006","View Full Record in Web of Science")</f>
        <v>View Full Record in Web of Science</v>
      </c>
    </row>
    <row r="92" spans="1:75" x14ac:dyDescent="0.35">
      <c r="A92">
        <f>COUNTIF(Scopus!$E$2:$E$128,"="&amp;Tabelle6[[#This Row],[Article Title]])</f>
        <v>1</v>
      </c>
      <c r="B92">
        <v>1</v>
      </c>
      <c r="C92" s="1" t="s">
        <v>2148</v>
      </c>
      <c r="D92" t="s">
        <v>1417</v>
      </c>
      <c r="E92" t="s">
        <v>1881</v>
      </c>
      <c r="F92">
        <v>2014</v>
      </c>
      <c r="G92" t="s">
        <v>1884</v>
      </c>
      <c r="H92" t="s">
        <v>28</v>
      </c>
      <c r="I92" t="s">
        <v>1882</v>
      </c>
      <c r="J92" t="s">
        <v>28</v>
      </c>
      <c r="K92" t="s">
        <v>1883</v>
      </c>
      <c r="L92" t="s">
        <v>28</v>
      </c>
      <c r="M92" t="s">
        <v>28</v>
      </c>
      <c r="N92" t="s">
        <v>1885</v>
      </c>
      <c r="O92" t="s">
        <v>1584</v>
      </c>
      <c r="P92" t="s">
        <v>28</v>
      </c>
      <c r="Q92" t="s">
        <v>2242</v>
      </c>
      <c r="R92" t="s">
        <v>2345</v>
      </c>
      <c r="S92" t="s">
        <v>1886</v>
      </c>
      <c r="T92" t="s">
        <v>1887</v>
      </c>
      <c r="U92" t="s">
        <v>1888</v>
      </c>
      <c r="V92" t="s">
        <v>28</v>
      </c>
      <c r="W92" t="s">
        <v>28</v>
      </c>
      <c r="X92" t="s">
        <v>28</v>
      </c>
      <c r="Y92" t="s">
        <v>2686</v>
      </c>
      <c r="Z92" t="s">
        <v>2687</v>
      </c>
      <c r="AA92" t="s">
        <v>2688</v>
      </c>
      <c r="AB92" t="s">
        <v>28</v>
      </c>
      <c r="AC92" t="s">
        <v>2689</v>
      </c>
      <c r="AD92" t="s">
        <v>2690</v>
      </c>
      <c r="AE92" t="s">
        <v>1889</v>
      </c>
      <c r="AF92" t="s">
        <v>28</v>
      </c>
      <c r="AG92" t="s">
        <v>28</v>
      </c>
      <c r="AH92" t="s">
        <v>28</v>
      </c>
      <c r="AI92" t="s">
        <v>28</v>
      </c>
      <c r="AJ92" t="s">
        <v>28</v>
      </c>
      <c r="AK92">
        <v>20</v>
      </c>
      <c r="AL92">
        <v>4</v>
      </c>
      <c r="AM92">
        <v>4</v>
      </c>
      <c r="AN92">
        <v>0</v>
      </c>
      <c r="AO92">
        <v>8</v>
      </c>
      <c r="AP92" t="s">
        <v>1419</v>
      </c>
      <c r="AQ92" t="s">
        <v>2354</v>
      </c>
      <c r="AR92" t="s">
        <v>2691</v>
      </c>
      <c r="AS92" t="s">
        <v>1590</v>
      </c>
      <c r="AT92" t="s">
        <v>28</v>
      </c>
      <c r="AU92" t="s">
        <v>1890</v>
      </c>
      <c r="AV92" t="s">
        <v>2692</v>
      </c>
      <c r="AW92" t="s">
        <v>28</v>
      </c>
      <c r="AX92" t="s">
        <v>28</v>
      </c>
      <c r="AY92" t="s">
        <v>28</v>
      </c>
      <c r="AZ92" t="s">
        <v>28</v>
      </c>
      <c r="BA92" t="s">
        <v>28</v>
      </c>
      <c r="BB92" t="s">
        <v>28</v>
      </c>
      <c r="BC92" t="s">
        <v>28</v>
      </c>
      <c r="BD92" t="s">
        <v>28</v>
      </c>
      <c r="BE92">
        <v>1120</v>
      </c>
      <c r="BF92">
        <v>1131</v>
      </c>
      <c r="BG92" t="s">
        <v>28</v>
      </c>
      <c r="BH92" t="s">
        <v>28</v>
      </c>
      <c r="BI92" t="s">
        <v>28</v>
      </c>
      <c r="BJ92" t="s">
        <v>28</v>
      </c>
      <c r="BK92" t="s">
        <v>28</v>
      </c>
      <c r="BL92">
        <v>12</v>
      </c>
      <c r="BM92" t="s">
        <v>2693</v>
      </c>
      <c r="BN92" t="s">
        <v>2357</v>
      </c>
      <c r="BO92" t="s">
        <v>2315</v>
      </c>
      <c r="BP92" t="s">
        <v>2694</v>
      </c>
      <c r="BQ92" t="s">
        <v>28</v>
      </c>
      <c r="BR92" t="s">
        <v>2317</v>
      </c>
      <c r="BS92" t="s">
        <v>28</v>
      </c>
      <c r="BT92" t="s">
        <v>28</v>
      </c>
      <c r="BU92" t="s">
        <v>2261</v>
      </c>
      <c r="BV92" t="s">
        <v>1891</v>
      </c>
      <c r="BW92" t="str">
        <f>HYPERLINK("https%3A%2F%2Fwww.webofscience.com%2Fwos%2Fwoscc%2Ffull-record%2FWOS:000389248201036","View Full Record in Web of Science")</f>
        <v>View Full Record in Web of Science</v>
      </c>
    </row>
    <row r="93" spans="1:75" ht="10.5" customHeight="1" x14ac:dyDescent="0.35">
      <c r="A93">
        <f>COUNTIF(Scopus!$E$2:$E$128,"="&amp;Tabelle6[[#This Row],[Article Title]])</f>
        <v>0</v>
      </c>
      <c r="B93">
        <v>1.5</v>
      </c>
      <c r="C93" t="s">
        <v>4534</v>
      </c>
      <c r="D93" t="s">
        <v>1321</v>
      </c>
      <c r="E93" t="s">
        <v>3840</v>
      </c>
      <c r="F93">
        <v>2011</v>
      </c>
      <c r="G93" s="5" t="s">
        <v>3842</v>
      </c>
      <c r="H93" t="s">
        <v>28</v>
      </c>
      <c r="I93" t="s">
        <v>28</v>
      </c>
      <c r="J93" t="s">
        <v>28</v>
      </c>
      <c r="K93" t="s">
        <v>3841</v>
      </c>
      <c r="L93" t="s">
        <v>28</v>
      </c>
      <c r="M93" t="s">
        <v>28</v>
      </c>
      <c r="N93" t="s">
        <v>3843</v>
      </c>
      <c r="O93" t="s">
        <v>28</v>
      </c>
      <c r="P93" t="s">
        <v>28</v>
      </c>
      <c r="Q93" t="s">
        <v>3844</v>
      </c>
      <c r="R93" t="s">
        <v>34</v>
      </c>
      <c r="S93" t="s">
        <v>28</v>
      </c>
      <c r="T93" t="s">
        <v>28</v>
      </c>
      <c r="U93" t="s">
        <v>28</v>
      </c>
      <c r="V93" t="s">
        <v>28</v>
      </c>
      <c r="W93" t="s">
        <v>28</v>
      </c>
      <c r="X93" t="s">
        <v>3845</v>
      </c>
      <c r="Y93" t="s">
        <v>28</v>
      </c>
      <c r="Z93" s="5" t="s">
        <v>3846</v>
      </c>
      <c r="AA93" t="s">
        <v>3847</v>
      </c>
      <c r="AB93" t="s">
        <v>28</v>
      </c>
      <c r="AC93" t="s">
        <v>3848</v>
      </c>
      <c r="AD93" t="s">
        <v>3849</v>
      </c>
      <c r="AE93" t="s">
        <v>28</v>
      </c>
      <c r="AF93" t="s">
        <v>28</v>
      </c>
      <c r="AG93" t="s">
        <v>28</v>
      </c>
      <c r="AH93" t="s">
        <v>28</v>
      </c>
      <c r="AI93" t="s">
        <v>28</v>
      </c>
      <c r="AJ93" t="s">
        <v>28</v>
      </c>
      <c r="AK93">
        <v>41</v>
      </c>
      <c r="AL93">
        <v>1</v>
      </c>
      <c r="AM93">
        <v>1</v>
      </c>
      <c r="AN93">
        <v>0</v>
      </c>
      <c r="AO93">
        <v>0</v>
      </c>
      <c r="AP93" t="s">
        <v>3850</v>
      </c>
      <c r="AQ93" t="s">
        <v>3851</v>
      </c>
      <c r="AR93" t="s">
        <v>3852</v>
      </c>
      <c r="AS93" t="s">
        <v>3853</v>
      </c>
      <c r="AT93" t="s">
        <v>3854</v>
      </c>
      <c r="AU93" t="s">
        <v>28</v>
      </c>
      <c r="AV93" t="s">
        <v>3855</v>
      </c>
      <c r="AW93" t="s">
        <v>3856</v>
      </c>
      <c r="AX93" t="s">
        <v>1437</v>
      </c>
      <c r="AY93" t="s">
        <v>28</v>
      </c>
      <c r="AZ93" t="s">
        <v>28</v>
      </c>
      <c r="BA93" t="s">
        <v>28</v>
      </c>
      <c r="BB93" t="s">
        <v>28</v>
      </c>
      <c r="BC93" t="s">
        <v>1639</v>
      </c>
      <c r="BD93" t="s">
        <v>28</v>
      </c>
      <c r="BE93">
        <v>21</v>
      </c>
      <c r="BF93">
        <v>30</v>
      </c>
      <c r="BG93" t="s">
        <v>28</v>
      </c>
      <c r="BH93" t="s">
        <v>28</v>
      </c>
      <c r="BI93" t="s">
        <v>28</v>
      </c>
      <c r="BJ93" t="s">
        <v>28</v>
      </c>
      <c r="BK93" t="s">
        <v>28</v>
      </c>
      <c r="BL93">
        <v>10</v>
      </c>
      <c r="BM93" t="s">
        <v>3857</v>
      </c>
      <c r="BN93" t="s">
        <v>2771</v>
      </c>
      <c r="BO93" t="s">
        <v>2646</v>
      </c>
      <c r="BP93" t="s">
        <v>3858</v>
      </c>
      <c r="BQ93" t="s">
        <v>28</v>
      </c>
      <c r="BR93" t="s">
        <v>28</v>
      </c>
      <c r="BS93" t="s">
        <v>28</v>
      </c>
      <c r="BT93" t="s">
        <v>28</v>
      </c>
      <c r="BU93" t="s">
        <v>2261</v>
      </c>
      <c r="BV93" t="s">
        <v>3859</v>
      </c>
      <c r="BW93" t="str">
        <f>HYPERLINK("https%3A%2F%2Fwww.webofscience.com%2Fwos%2Fwoscc%2Ffull-record%2FWOS:000421086300003","View Full Record in Web of Science")</f>
        <v>View Full Record in Web of Science</v>
      </c>
    </row>
    <row r="94" spans="1:75" x14ac:dyDescent="0.35">
      <c r="A94">
        <f>COUNTIF(Scopus!$E$2:$E$128,"="&amp;Tabelle6[[#This Row],[Article Title]])</f>
        <v>1</v>
      </c>
      <c r="B94">
        <v>1</v>
      </c>
      <c r="C94" s="1" t="s">
        <v>2148</v>
      </c>
      <c r="D94" t="s">
        <v>1417</v>
      </c>
      <c r="E94" t="s">
        <v>1418</v>
      </c>
      <c r="F94">
        <v>2021</v>
      </c>
      <c r="G94" t="s">
        <v>170</v>
      </c>
      <c r="H94" t="s">
        <v>28</v>
      </c>
      <c r="I94" t="s">
        <v>28</v>
      </c>
      <c r="J94" t="s">
        <v>1419</v>
      </c>
      <c r="K94" t="s">
        <v>1420</v>
      </c>
      <c r="L94" t="s">
        <v>28</v>
      </c>
      <c r="M94" t="s">
        <v>28</v>
      </c>
      <c r="N94" t="s">
        <v>1421</v>
      </c>
      <c r="O94" t="s">
        <v>1422</v>
      </c>
      <c r="P94" t="s">
        <v>28</v>
      </c>
      <c r="Q94" t="s">
        <v>2242</v>
      </c>
      <c r="R94" t="s">
        <v>2345</v>
      </c>
      <c r="S94" t="s">
        <v>1423</v>
      </c>
      <c r="T94" t="s">
        <v>1424</v>
      </c>
      <c r="U94" t="s">
        <v>1425</v>
      </c>
      <c r="V94" t="s">
        <v>3576</v>
      </c>
      <c r="W94" t="s">
        <v>28</v>
      </c>
      <c r="X94" t="s">
        <v>28</v>
      </c>
      <c r="Y94" t="s">
        <v>28</v>
      </c>
      <c r="Z94" t="s">
        <v>3577</v>
      </c>
      <c r="AA94" t="s">
        <v>3578</v>
      </c>
      <c r="AB94" t="s">
        <v>28</v>
      </c>
      <c r="AC94" t="s">
        <v>3579</v>
      </c>
      <c r="AD94" t="s">
        <v>28</v>
      </c>
      <c r="AE94" t="s">
        <v>1426</v>
      </c>
      <c r="AF94" t="s">
        <v>1427</v>
      </c>
      <c r="AG94" t="s">
        <v>3580</v>
      </c>
      <c r="AH94" t="s">
        <v>3580</v>
      </c>
      <c r="AI94" t="s">
        <v>3581</v>
      </c>
      <c r="AJ94" t="s">
        <v>28</v>
      </c>
      <c r="AK94">
        <v>16</v>
      </c>
      <c r="AL94">
        <v>0</v>
      </c>
      <c r="AM94">
        <v>0</v>
      </c>
      <c r="AN94">
        <v>1</v>
      </c>
      <c r="AO94">
        <v>1</v>
      </c>
      <c r="AP94" t="s">
        <v>1419</v>
      </c>
      <c r="AQ94" t="s">
        <v>2354</v>
      </c>
      <c r="AR94" t="s">
        <v>2691</v>
      </c>
      <c r="AS94" t="s">
        <v>1428</v>
      </c>
      <c r="AT94" t="s">
        <v>28</v>
      </c>
      <c r="AU94" t="s">
        <v>1429</v>
      </c>
      <c r="AV94" t="s">
        <v>3582</v>
      </c>
      <c r="AW94" t="s">
        <v>28</v>
      </c>
      <c r="AX94" t="s">
        <v>28</v>
      </c>
      <c r="AY94" t="s">
        <v>28</v>
      </c>
      <c r="AZ94" t="s">
        <v>28</v>
      </c>
      <c r="BA94" t="s">
        <v>28</v>
      </c>
      <c r="BB94" t="s">
        <v>28</v>
      </c>
      <c r="BC94" t="s">
        <v>28</v>
      </c>
      <c r="BD94" t="s">
        <v>28</v>
      </c>
      <c r="BE94">
        <v>757</v>
      </c>
      <c r="BF94">
        <v>762</v>
      </c>
      <c r="BG94" t="s">
        <v>28</v>
      </c>
      <c r="BH94" t="s">
        <v>1430</v>
      </c>
      <c r="BI94" t="str">
        <f>HYPERLINK("http://dx.doi.org/10.1109/ISGTEUROPE52324.2021.9640081","http://dx.doi.org/10.1109/ISGTEUROPE52324.2021.9640081")</f>
        <v>http://dx.doi.org/10.1109/ISGTEUROPE52324.2021.9640081</v>
      </c>
      <c r="BJ94" t="s">
        <v>28</v>
      </c>
      <c r="BK94" t="s">
        <v>28</v>
      </c>
      <c r="BL94">
        <v>6</v>
      </c>
      <c r="BM94" t="s">
        <v>3583</v>
      </c>
      <c r="BN94" t="s">
        <v>2357</v>
      </c>
      <c r="BO94" t="s">
        <v>3584</v>
      </c>
      <c r="BP94" t="s">
        <v>3585</v>
      </c>
      <c r="BQ94" t="s">
        <v>28</v>
      </c>
      <c r="BR94" t="s">
        <v>28</v>
      </c>
      <c r="BS94" t="s">
        <v>28</v>
      </c>
      <c r="BT94" t="s">
        <v>28</v>
      </c>
      <c r="BU94" t="s">
        <v>2261</v>
      </c>
      <c r="BV94" t="s">
        <v>1431</v>
      </c>
      <c r="BW94" t="str">
        <f>HYPERLINK("https%3A%2F%2Fwww.webofscience.com%2Fwos%2Fwoscc%2Ffull-record%2FWOS:000765815000141","View Full Record in Web of Science")</f>
        <v>View Full Record in Web of Science</v>
      </c>
    </row>
    <row r="95" spans="1:75" ht="20" customHeight="1" x14ac:dyDescent="0.35">
      <c r="A95">
        <f>COUNTIF(Scopus!$E$2:$E$128,"="&amp;Tabelle6[[#This Row],[Article Title]])</f>
        <v>0</v>
      </c>
      <c r="B95">
        <v>0</v>
      </c>
      <c r="C95" t="s">
        <v>4532</v>
      </c>
      <c r="D95" t="s">
        <v>1321</v>
      </c>
      <c r="E95" t="s">
        <v>1396</v>
      </c>
      <c r="F95">
        <v>2021</v>
      </c>
      <c r="G95" s="5" t="s">
        <v>1398</v>
      </c>
      <c r="H95" t="s">
        <v>28</v>
      </c>
      <c r="I95" t="s">
        <v>28</v>
      </c>
      <c r="J95" t="s">
        <v>28</v>
      </c>
      <c r="K95" t="s">
        <v>1397</v>
      </c>
      <c r="L95" t="s">
        <v>28</v>
      </c>
      <c r="M95" t="s">
        <v>28</v>
      </c>
      <c r="N95" t="s">
        <v>1399</v>
      </c>
      <c r="O95" t="s">
        <v>28</v>
      </c>
      <c r="P95" t="s">
        <v>28</v>
      </c>
      <c r="Q95" t="s">
        <v>2242</v>
      </c>
      <c r="R95" t="s">
        <v>34</v>
      </c>
      <c r="S95" t="s">
        <v>28</v>
      </c>
      <c r="T95" t="s">
        <v>28</v>
      </c>
      <c r="U95" t="s">
        <v>28</v>
      </c>
      <c r="V95" t="s">
        <v>28</v>
      </c>
      <c r="W95" t="s">
        <v>28</v>
      </c>
      <c r="X95" t="s">
        <v>2555</v>
      </c>
      <c r="Y95" t="s">
        <v>2556</v>
      </c>
      <c r="Z95" t="s">
        <v>2557</v>
      </c>
      <c r="AA95" t="s">
        <v>2558</v>
      </c>
      <c r="AB95" t="s">
        <v>28</v>
      </c>
      <c r="AC95" t="s">
        <v>2559</v>
      </c>
      <c r="AD95" t="s">
        <v>2560</v>
      </c>
      <c r="AE95" t="s">
        <v>28</v>
      </c>
      <c r="AF95" t="s">
        <v>2561</v>
      </c>
      <c r="AG95" t="s">
        <v>2562</v>
      </c>
      <c r="AH95" t="s">
        <v>2563</v>
      </c>
      <c r="AI95" t="s">
        <v>2564</v>
      </c>
      <c r="AJ95" t="s">
        <v>28</v>
      </c>
      <c r="AK95">
        <v>78</v>
      </c>
      <c r="AL95">
        <v>1</v>
      </c>
      <c r="AM95">
        <v>1</v>
      </c>
      <c r="AN95">
        <v>2</v>
      </c>
      <c r="AO95">
        <v>6</v>
      </c>
      <c r="AP95" t="s">
        <v>2409</v>
      </c>
      <c r="AQ95" t="s">
        <v>2274</v>
      </c>
      <c r="AR95" t="s">
        <v>2410</v>
      </c>
      <c r="AS95" t="s">
        <v>28</v>
      </c>
      <c r="AT95" t="s">
        <v>1400</v>
      </c>
      <c r="AU95" t="s">
        <v>28</v>
      </c>
      <c r="AV95" t="s">
        <v>2276</v>
      </c>
      <c r="AW95" t="s">
        <v>2277</v>
      </c>
      <c r="AX95" t="s">
        <v>1401</v>
      </c>
      <c r="AY95">
        <v>13</v>
      </c>
      <c r="AZ95">
        <v>8</v>
      </c>
      <c r="BA95" t="s">
        <v>28</v>
      </c>
      <c r="BB95" t="s">
        <v>28</v>
      </c>
      <c r="BC95" t="s">
        <v>28</v>
      </c>
      <c r="BD95" t="s">
        <v>28</v>
      </c>
      <c r="BE95" t="s">
        <v>28</v>
      </c>
      <c r="BF95" t="s">
        <v>28</v>
      </c>
      <c r="BG95">
        <v>1024</v>
      </c>
      <c r="BH95" t="s">
        <v>1402</v>
      </c>
      <c r="BI95" t="str">
        <f>HYPERLINK("http://dx.doi.org/10.3390/w13081024","http://dx.doi.org/10.3390/w13081024")</f>
        <v>http://dx.doi.org/10.3390/w13081024</v>
      </c>
      <c r="BJ95" t="s">
        <v>28</v>
      </c>
      <c r="BK95" t="s">
        <v>28</v>
      </c>
      <c r="BL95">
        <v>30</v>
      </c>
      <c r="BM95" t="s">
        <v>2278</v>
      </c>
      <c r="BN95" t="s">
        <v>2258</v>
      </c>
      <c r="BO95" t="s">
        <v>2279</v>
      </c>
      <c r="BP95" t="s">
        <v>2565</v>
      </c>
      <c r="BQ95" t="s">
        <v>28</v>
      </c>
      <c r="BR95" t="s">
        <v>2566</v>
      </c>
      <c r="BS95" t="s">
        <v>28</v>
      </c>
      <c r="BT95" t="s">
        <v>28</v>
      </c>
      <c r="BU95" t="s">
        <v>2261</v>
      </c>
      <c r="BV95" t="s">
        <v>1403</v>
      </c>
      <c r="BW95" t="str">
        <f>HYPERLINK("https%3A%2F%2Fwww.webofscience.com%2Fwos%2Fwoscc%2Ffull-record%2FWOS:000644891000001","View Full Record in Web of Science")</f>
        <v>View Full Record in Web of Science</v>
      </c>
    </row>
    <row r="96" spans="1:75" x14ac:dyDescent="0.35">
      <c r="A96">
        <f>COUNTIF(Scopus!$E$2:$E$128,"="&amp;Tabelle6[[#This Row],[Article Title]])</f>
        <v>0</v>
      </c>
      <c r="B96">
        <v>3</v>
      </c>
      <c r="C96" s="1" t="s">
        <v>2149</v>
      </c>
      <c r="D96" t="s">
        <v>1321</v>
      </c>
      <c r="E96" t="s">
        <v>1439</v>
      </c>
      <c r="F96">
        <v>2020</v>
      </c>
      <c r="G96" t="s">
        <v>1441</v>
      </c>
      <c r="H96" t="s">
        <v>28</v>
      </c>
      <c r="I96" t="s">
        <v>28</v>
      </c>
      <c r="J96" t="s">
        <v>28</v>
      </c>
      <c r="K96" t="s">
        <v>1440</v>
      </c>
      <c r="L96" t="s">
        <v>28</v>
      </c>
      <c r="M96" t="s">
        <v>28</v>
      </c>
      <c r="N96" t="s">
        <v>1442</v>
      </c>
      <c r="O96" t="s">
        <v>28</v>
      </c>
      <c r="P96" t="s">
        <v>28</v>
      </c>
      <c r="Q96" t="s">
        <v>2242</v>
      </c>
      <c r="R96" t="s">
        <v>34</v>
      </c>
      <c r="S96" t="s">
        <v>28</v>
      </c>
      <c r="T96" t="s">
        <v>28</v>
      </c>
      <c r="U96" t="s">
        <v>28</v>
      </c>
      <c r="V96" t="s">
        <v>28</v>
      </c>
      <c r="W96" t="s">
        <v>28</v>
      </c>
      <c r="X96" t="s">
        <v>28</v>
      </c>
      <c r="Y96" t="s">
        <v>3440</v>
      </c>
      <c r="Z96" t="s">
        <v>3441</v>
      </c>
      <c r="AA96" t="s">
        <v>3442</v>
      </c>
      <c r="AB96" t="s">
        <v>28</v>
      </c>
      <c r="AC96" t="s">
        <v>3443</v>
      </c>
      <c r="AD96" t="s">
        <v>3444</v>
      </c>
      <c r="AE96" t="s">
        <v>28</v>
      </c>
      <c r="AF96" t="s">
        <v>3445</v>
      </c>
      <c r="AG96" t="s">
        <v>3446</v>
      </c>
      <c r="AH96" t="s">
        <v>3446</v>
      </c>
      <c r="AI96" t="s">
        <v>3447</v>
      </c>
      <c r="AJ96" t="s">
        <v>28</v>
      </c>
      <c r="AK96">
        <v>30</v>
      </c>
      <c r="AL96">
        <v>2</v>
      </c>
      <c r="AM96">
        <v>2</v>
      </c>
      <c r="AN96">
        <v>1</v>
      </c>
      <c r="AO96">
        <v>4</v>
      </c>
      <c r="AP96" t="s">
        <v>3448</v>
      </c>
      <c r="AQ96" t="s">
        <v>3449</v>
      </c>
      <c r="AR96" t="s">
        <v>3450</v>
      </c>
      <c r="AS96" t="s">
        <v>1443</v>
      </c>
      <c r="AT96" t="s">
        <v>1444</v>
      </c>
      <c r="AU96" t="s">
        <v>28</v>
      </c>
      <c r="AV96" t="s">
        <v>3451</v>
      </c>
      <c r="AW96" t="s">
        <v>3452</v>
      </c>
      <c r="AX96" t="s">
        <v>1437</v>
      </c>
      <c r="AY96">
        <v>103</v>
      </c>
      <c r="AZ96">
        <v>5</v>
      </c>
      <c r="BA96" t="s">
        <v>28</v>
      </c>
      <c r="BB96" t="s">
        <v>28</v>
      </c>
      <c r="BC96" t="s">
        <v>28</v>
      </c>
      <c r="BD96" t="s">
        <v>28</v>
      </c>
      <c r="BE96">
        <v>1942</v>
      </c>
      <c r="BF96">
        <v>1950</v>
      </c>
      <c r="BG96" t="s">
        <v>28</v>
      </c>
      <c r="BH96" t="s">
        <v>1445</v>
      </c>
      <c r="BI96" t="str">
        <f>HYPERLINK("http://dx.doi.org/10.4269/ajtmh.19-0466","http://dx.doi.org/10.4269/ajtmh.19-0466")</f>
        <v>http://dx.doi.org/10.4269/ajtmh.19-0466</v>
      </c>
      <c r="BJ96" t="s">
        <v>28</v>
      </c>
      <c r="BK96" t="s">
        <v>28</v>
      </c>
      <c r="BL96">
        <v>9</v>
      </c>
      <c r="BM96" t="s">
        <v>2974</v>
      </c>
      <c r="BN96" t="s">
        <v>2314</v>
      </c>
      <c r="BO96" t="s">
        <v>2974</v>
      </c>
      <c r="BP96" t="s">
        <v>3453</v>
      </c>
      <c r="BQ96">
        <v>32901603</v>
      </c>
      <c r="BR96" t="s">
        <v>3226</v>
      </c>
      <c r="BS96" t="s">
        <v>28</v>
      </c>
      <c r="BT96" t="s">
        <v>28</v>
      </c>
      <c r="BU96" t="s">
        <v>2261</v>
      </c>
      <c r="BV96" t="s">
        <v>1446</v>
      </c>
      <c r="BW96" t="str">
        <f>HYPERLINK("https%3A%2F%2Fwww.webofscience.com%2Fwos%2Fwoscc%2Ffull-record%2FWOS:000588422900037","View Full Record in Web of Science")</f>
        <v>View Full Record in Web of Science</v>
      </c>
    </row>
    <row r="97" spans="1:75" x14ac:dyDescent="0.35">
      <c r="A97">
        <f>COUNTIF(Scopus!$E$2:$E$128,"="&amp;Tabelle6[[#This Row],[Article Title]])</f>
        <v>1</v>
      </c>
      <c r="B97">
        <v>1</v>
      </c>
      <c r="C97" s="1" t="s">
        <v>2148</v>
      </c>
      <c r="D97" t="s">
        <v>1417</v>
      </c>
      <c r="E97" t="s">
        <v>1796</v>
      </c>
      <c r="F97">
        <v>2016</v>
      </c>
      <c r="G97" t="s">
        <v>1798</v>
      </c>
      <c r="H97" t="s">
        <v>28</v>
      </c>
      <c r="I97" t="s">
        <v>1746</v>
      </c>
      <c r="J97" t="s">
        <v>28</v>
      </c>
      <c r="K97" t="s">
        <v>1797</v>
      </c>
      <c r="L97" t="s">
        <v>28</v>
      </c>
      <c r="M97" t="s">
        <v>28</v>
      </c>
      <c r="N97" t="s">
        <v>1799</v>
      </c>
      <c r="O97" t="s">
        <v>28</v>
      </c>
      <c r="P97" t="s">
        <v>28</v>
      </c>
      <c r="Q97" t="s">
        <v>2242</v>
      </c>
      <c r="R97" t="s">
        <v>2345</v>
      </c>
      <c r="S97" t="s">
        <v>1749</v>
      </c>
      <c r="T97" t="s">
        <v>1750</v>
      </c>
      <c r="U97" t="s">
        <v>1751</v>
      </c>
      <c r="V97" t="s">
        <v>1752</v>
      </c>
      <c r="W97" t="s">
        <v>1753</v>
      </c>
      <c r="X97" t="s">
        <v>28</v>
      </c>
      <c r="Y97" t="s">
        <v>28</v>
      </c>
      <c r="Z97" t="s">
        <v>2346</v>
      </c>
      <c r="AA97" t="s">
        <v>2347</v>
      </c>
      <c r="AB97" t="s">
        <v>28</v>
      </c>
      <c r="AC97" t="s">
        <v>2348</v>
      </c>
      <c r="AD97" t="s">
        <v>2349</v>
      </c>
      <c r="AE97" t="s">
        <v>28</v>
      </c>
      <c r="AF97" t="s">
        <v>28</v>
      </c>
      <c r="AG97" t="s">
        <v>2350</v>
      </c>
      <c r="AH97" t="s">
        <v>2351</v>
      </c>
      <c r="AI97" t="s">
        <v>2352</v>
      </c>
      <c r="AJ97" t="s">
        <v>28</v>
      </c>
      <c r="AK97">
        <v>5</v>
      </c>
      <c r="AL97">
        <v>0</v>
      </c>
      <c r="AM97">
        <v>0</v>
      </c>
      <c r="AN97">
        <v>0</v>
      </c>
      <c r="AO97">
        <v>4</v>
      </c>
      <c r="AP97" t="s">
        <v>2353</v>
      </c>
      <c r="AQ97" t="s">
        <v>2354</v>
      </c>
      <c r="AR97" t="s">
        <v>2355</v>
      </c>
      <c r="AS97" t="s">
        <v>28</v>
      </c>
      <c r="AT97" t="s">
        <v>28</v>
      </c>
      <c r="AU97" t="s">
        <v>1800</v>
      </c>
      <c r="AV97" t="s">
        <v>28</v>
      </c>
      <c r="AW97" t="s">
        <v>28</v>
      </c>
      <c r="AX97" t="s">
        <v>28</v>
      </c>
      <c r="AY97" t="s">
        <v>28</v>
      </c>
      <c r="AZ97" t="s">
        <v>28</v>
      </c>
      <c r="BA97" t="s">
        <v>28</v>
      </c>
      <c r="BB97" t="s">
        <v>28</v>
      </c>
      <c r="BC97" t="s">
        <v>28</v>
      </c>
      <c r="BD97" t="s">
        <v>28</v>
      </c>
      <c r="BE97">
        <v>171</v>
      </c>
      <c r="BF97">
        <v>176</v>
      </c>
      <c r="BG97" t="s">
        <v>28</v>
      </c>
      <c r="BH97" t="s">
        <v>28</v>
      </c>
      <c r="BI97" t="s">
        <v>28</v>
      </c>
      <c r="BJ97" t="s">
        <v>28</v>
      </c>
      <c r="BK97" t="s">
        <v>28</v>
      </c>
      <c r="BL97">
        <v>6</v>
      </c>
      <c r="BM97" t="s">
        <v>2356</v>
      </c>
      <c r="BN97" t="s">
        <v>2357</v>
      </c>
      <c r="BO97" t="s">
        <v>2358</v>
      </c>
      <c r="BP97" t="s">
        <v>2359</v>
      </c>
      <c r="BQ97" t="s">
        <v>28</v>
      </c>
      <c r="BR97" t="s">
        <v>28</v>
      </c>
      <c r="BS97" t="s">
        <v>28</v>
      </c>
      <c r="BT97" t="s">
        <v>28</v>
      </c>
      <c r="BU97" t="s">
        <v>2261</v>
      </c>
      <c r="BV97" t="s">
        <v>1801</v>
      </c>
      <c r="BW97" t="str">
        <f>HYPERLINK("https%3A%2F%2Fwww.webofscience.com%2Fwos%2Fwoscc%2Ffull-record%2FWOS:000400170800019","View Full Record in Web of Science")</f>
        <v>View Full Record in Web of Science</v>
      </c>
    </row>
    <row r="98" spans="1:75" x14ac:dyDescent="0.35">
      <c r="A98">
        <f>COUNTIF(Scopus!$E$2:$E$128,"="&amp;Tabelle6[[#This Row],[Article Title]])</f>
        <v>1</v>
      </c>
      <c r="B98">
        <v>1</v>
      </c>
      <c r="C98" s="1" t="s">
        <v>2148</v>
      </c>
      <c r="D98" t="s">
        <v>1321</v>
      </c>
      <c r="E98" t="s">
        <v>1342</v>
      </c>
      <c r="F98">
        <v>2021</v>
      </c>
      <c r="G98" t="s">
        <v>87</v>
      </c>
      <c r="H98" t="s">
        <v>28</v>
      </c>
      <c r="I98" t="s">
        <v>28</v>
      </c>
      <c r="J98" t="s">
        <v>28</v>
      </c>
      <c r="K98" t="s">
        <v>1343</v>
      </c>
      <c r="L98" t="s">
        <v>28</v>
      </c>
      <c r="M98" t="s">
        <v>28</v>
      </c>
      <c r="N98" t="s">
        <v>1344</v>
      </c>
      <c r="O98" t="s">
        <v>28</v>
      </c>
      <c r="P98" t="s">
        <v>28</v>
      </c>
      <c r="Q98" t="s">
        <v>2242</v>
      </c>
      <c r="R98" t="s">
        <v>34</v>
      </c>
      <c r="S98" t="s">
        <v>28</v>
      </c>
      <c r="T98" t="s">
        <v>28</v>
      </c>
      <c r="U98" t="s">
        <v>28</v>
      </c>
      <c r="V98" t="s">
        <v>28</v>
      </c>
      <c r="W98" t="s">
        <v>28</v>
      </c>
      <c r="X98" t="s">
        <v>2892</v>
      </c>
      <c r="Y98" t="s">
        <v>2893</v>
      </c>
      <c r="Z98" t="s">
        <v>2894</v>
      </c>
      <c r="AA98" t="s">
        <v>2895</v>
      </c>
      <c r="AB98" t="s">
        <v>28</v>
      </c>
      <c r="AC98" t="s">
        <v>2896</v>
      </c>
      <c r="AD98" t="s">
        <v>2349</v>
      </c>
      <c r="AE98" t="s">
        <v>28</v>
      </c>
      <c r="AF98" t="s">
        <v>1345</v>
      </c>
      <c r="AG98" t="s">
        <v>2350</v>
      </c>
      <c r="AH98" t="s">
        <v>2351</v>
      </c>
      <c r="AI98" t="s">
        <v>2897</v>
      </c>
      <c r="AJ98" t="s">
        <v>28</v>
      </c>
      <c r="AK98">
        <v>78</v>
      </c>
      <c r="AL98">
        <v>0</v>
      </c>
      <c r="AM98">
        <v>0</v>
      </c>
      <c r="AN98">
        <v>2</v>
      </c>
      <c r="AO98">
        <v>8</v>
      </c>
      <c r="AP98" t="s">
        <v>2860</v>
      </c>
      <c r="AQ98" t="s">
        <v>2861</v>
      </c>
      <c r="AR98" t="s">
        <v>2862</v>
      </c>
      <c r="AS98" t="s">
        <v>1346</v>
      </c>
      <c r="AT98" t="s">
        <v>1347</v>
      </c>
      <c r="AU98" t="s">
        <v>28</v>
      </c>
      <c r="AV98" t="s">
        <v>2898</v>
      </c>
      <c r="AW98" t="s">
        <v>2899</v>
      </c>
      <c r="AX98" t="s">
        <v>1348</v>
      </c>
      <c r="AY98">
        <v>147</v>
      </c>
      <c r="AZ98">
        <v>10</v>
      </c>
      <c r="BA98" t="s">
        <v>28</v>
      </c>
      <c r="BB98" t="s">
        <v>28</v>
      </c>
      <c r="BC98" t="s">
        <v>28</v>
      </c>
      <c r="BD98" t="s">
        <v>28</v>
      </c>
      <c r="BE98" t="s">
        <v>28</v>
      </c>
      <c r="BF98" t="s">
        <v>28</v>
      </c>
      <c r="BG98">
        <v>4021067</v>
      </c>
      <c r="BH98" t="s">
        <v>91</v>
      </c>
      <c r="BI98" t="str">
        <f>HYPERLINK("http://dx.doi.org/10.1061/(ASCE)WR.1943-5452.0001454","http://dx.doi.org/10.1061/(ASCE)WR.1943-5452.0001454")</f>
        <v>http://dx.doi.org/10.1061/(ASCE)WR.1943-5452.0001454</v>
      </c>
      <c r="BJ98" t="s">
        <v>28</v>
      </c>
      <c r="BK98" t="s">
        <v>28</v>
      </c>
      <c r="BL98">
        <v>18</v>
      </c>
      <c r="BM98" t="s">
        <v>2332</v>
      </c>
      <c r="BN98" t="s">
        <v>2258</v>
      </c>
      <c r="BO98" t="s">
        <v>2333</v>
      </c>
      <c r="BP98" t="s">
        <v>2900</v>
      </c>
      <c r="BQ98" t="s">
        <v>28</v>
      </c>
      <c r="BR98" t="s">
        <v>28</v>
      </c>
      <c r="BS98" t="s">
        <v>28</v>
      </c>
      <c r="BT98" t="s">
        <v>28</v>
      </c>
      <c r="BU98" t="s">
        <v>2261</v>
      </c>
      <c r="BV98" t="s">
        <v>1349</v>
      </c>
      <c r="BW98" t="str">
        <f>HYPERLINK("https%3A%2F%2Fwww.webofscience.com%2Fwos%2Fwoscc%2Ffull-record%2FWOS:000687515200007","View Full Record in Web of Science")</f>
        <v>View Full Record in Web of Science</v>
      </c>
    </row>
    <row r="99" spans="1:75" x14ac:dyDescent="0.35">
      <c r="A99">
        <f>COUNTIF(Scopus!$E$2:$E$128,"="&amp;Tabelle6[[#This Row],[Article Title]])</f>
        <v>1</v>
      </c>
      <c r="B99">
        <v>1</v>
      </c>
      <c r="C99" s="1" t="s">
        <v>2148</v>
      </c>
      <c r="D99" t="s">
        <v>1321</v>
      </c>
      <c r="E99" t="s">
        <v>1447</v>
      </c>
      <c r="F99">
        <v>2020</v>
      </c>
      <c r="G99" t="s">
        <v>1449</v>
      </c>
      <c r="H99" t="s">
        <v>28</v>
      </c>
      <c r="I99" t="s">
        <v>28</v>
      </c>
      <c r="J99" t="s">
        <v>28</v>
      </c>
      <c r="K99" t="s">
        <v>1448</v>
      </c>
      <c r="L99" t="s">
        <v>28</v>
      </c>
      <c r="M99" t="s">
        <v>28</v>
      </c>
      <c r="N99" t="s">
        <v>1399</v>
      </c>
      <c r="O99" t="s">
        <v>28</v>
      </c>
      <c r="P99" t="s">
        <v>28</v>
      </c>
      <c r="Q99" t="s">
        <v>2242</v>
      </c>
      <c r="R99" t="s">
        <v>34</v>
      </c>
      <c r="S99" t="s">
        <v>28</v>
      </c>
      <c r="T99" t="s">
        <v>28</v>
      </c>
      <c r="U99" t="s">
        <v>28</v>
      </c>
      <c r="V99" t="s">
        <v>28</v>
      </c>
      <c r="W99" t="s">
        <v>28</v>
      </c>
      <c r="X99" t="s">
        <v>2519</v>
      </c>
      <c r="Y99" t="s">
        <v>2520</v>
      </c>
      <c r="Z99" t="s">
        <v>2521</v>
      </c>
      <c r="AA99" t="s">
        <v>2522</v>
      </c>
      <c r="AB99" t="s">
        <v>28</v>
      </c>
      <c r="AC99" t="s">
        <v>2523</v>
      </c>
      <c r="AD99" t="s">
        <v>2524</v>
      </c>
      <c r="AE99" t="s">
        <v>2525</v>
      </c>
      <c r="AF99" t="s">
        <v>2526</v>
      </c>
      <c r="AG99" t="s">
        <v>2527</v>
      </c>
      <c r="AH99" t="s">
        <v>2527</v>
      </c>
      <c r="AI99" t="s">
        <v>2528</v>
      </c>
      <c r="AJ99" t="s">
        <v>28</v>
      </c>
      <c r="AK99">
        <v>99</v>
      </c>
      <c r="AL99">
        <v>5</v>
      </c>
      <c r="AM99">
        <v>5</v>
      </c>
      <c r="AN99">
        <v>9</v>
      </c>
      <c r="AO99">
        <v>23</v>
      </c>
      <c r="AP99" t="s">
        <v>2409</v>
      </c>
      <c r="AQ99" t="s">
        <v>2274</v>
      </c>
      <c r="AR99" t="s">
        <v>2410</v>
      </c>
      <c r="AS99" t="s">
        <v>28</v>
      </c>
      <c r="AT99" t="s">
        <v>1400</v>
      </c>
      <c r="AU99" t="s">
        <v>28</v>
      </c>
      <c r="AV99" t="s">
        <v>2276</v>
      </c>
      <c r="AW99" t="s">
        <v>2277</v>
      </c>
      <c r="AX99" t="s">
        <v>1437</v>
      </c>
      <c r="AY99">
        <v>12</v>
      </c>
      <c r="AZ99">
        <v>11</v>
      </c>
      <c r="BA99" t="s">
        <v>28</v>
      </c>
      <c r="BB99" t="s">
        <v>28</v>
      </c>
      <c r="BC99" t="s">
        <v>28</v>
      </c>
      <c r="BD99" t="s">
        <v>28</v>
      </c>
      <c r="BE99" t="s">
        <v>28</v>
      </c>
      <c r="BF99" t="s">
        <v>28</v>
      </c>
      <c r="BG99">
        <v>3075</v>
      </c>
      <c r="BH99" t="s">
        <v>205</v>
      </c>
      <c r="BI99" t="str">
        <f>HYPERLINK("http://dx.doi.org/10.3390/w12113075","http://dx.doi.org/10.3390/w12113075")</f>
        <v>http://dx.doi.org/10.3390/w12113075</v>
      </c>
      <c r="BJ99" t="s">
        <v>28</v>
      </c>
      <c r="BK99" t="s">
        <v>28</v>
      </c>
      <c r="BL99">
        <v>30</v>
      </c>
      <c r="BM99" t="s">
        <v>2278</v>
      </c>
      <c r="BN99" t="s">
        <v>2258</v>
      </c>
      <c r="BO99" t="s">
        <v>2279</v>
      </c>
      <c r="BP99" t="s">
        <v>2529</v>
      </c>
      <c r="BQ99" t="s">
        <v>28</v>
      </c>
      <c r="BR99" t="s">
        <v>2530</v>
      </c>
      <c r="BS99" t="s">
        <v>28</v>
      </c>
      <c r="BT99" t="s">
        <v>28</v>
      </c>
      <c r="BU99" t="s">
        <v>2261</v>
      </c>
      <c r="BV99" t="s">
        <v>1450</v>
      </c>
      <c r="BW99" t="str">
        <f>HYPERLINK("https%3A%2F%2Fwww.webofscience.com%2Fwos%2Fwoscc%2Ffull-record%2FWOS:000594877100001","View Full Record in Web of Science")</f>
        <v>View Full Record in Web of Science</v>
      </c>
    </row>
    <row r="100" spans="1:75" x14ac:dyDescent="0.35">
      <c r="A100">
        <f>COUNTIF(Scopus!$E$2:$E$128,"="&amp;Tabelle6[[#This Row],[Article Title]])</f>
        <v>1</v>
      </c>
      <c r="B100">
        <v>1</v>
      </c>
      <c r="C100" s="1" t="s">
        <v>2148</v>
      </c>
      <c r="D100" t="s">
        <v>1321</v>
      </c>
      <c r="E100" t="s">
        <v>1615</v>
      </c>
      <c r="F100">
        <v>2018</v>
      </c>
      <c r="G100" t="s">
        <v>1617</v>
      </c>
      <c r="H100" t="s">
        <v>28</v>
      </c>
      <c r="I100" t="s">
        <v>28</v>
      </c>
      <c r="J100" t="s">
        <v>28</v>
      </c>
      <c r="K100" t="s">
        <v>1616</v>
      </c>
      <c r="L100" t="s">
        <v>28</v>
      </c>
      <c r="M100" t="s">
        <v>28</v>
      </c>
      <c r="N100" t="s">
        <v>1399</v>
      </c>
      <c r="O100" t="s">
        <v>28</v>
      </c>
      <c r="P100" t="s">
        <v>28</v>
      </c>
      <c r="Q100" t="s">
        <v>2242</v>
      </c>
      <c r="R100" t="s">
        <v>34</v>
      </c>
      <c r="S100" t="s">
        <v>28</v>
      </c>
      <c r="T100" t="s">
        <v>28</v>
      </c>
      <c r="U100" t="s">
        <v>28</v>
      </c>
      <c r="V100" t="s">
        <v>28</v>
      </c>
      <c r="W100" t="s">
        <v>28</v>
      </c>
      <c r="X100" t="s">
        <v>2413</v>
      </c>
      <c r="Y100" t="s">
        <v>2414</v>
      </c>
      <c r="Z100" t="s">
        <v>2415</v>
      </c>
      <c r="AA100" t="s">
        <v>2416</v>
      </c>
      <c r="AB100" t="s">
        <v>28</v>
      </c>
      <c r="AC100" t="s">
        <v>2417</v>
      </c>
      <c r="AD100" t="s">
        <v>2418</v>
      </c>
      <c r="AE100" t="s">
        <v>1618</v>
      </c>
      <c r="AF100" t="s">
        <v>1619</v>
      </c>
      <c r="AG100" t="s">
        <v>2419</v>
      </c>
      <c r="AH100" t="s">
        <v>2420</v>
      </c>
      <c r="AI100" t="s">
        <v>2421</v>
      </c>
      <c r="AJ100" t="s">
        <v>28</v>
      </c>
      <c r="AK100">
        <v>74</v>
      </c>
      <c r="AL100">
        <v>23</v>
      </c>
      <c r="AM100">
        <v>23</v>
      </c>
      <c r="AN100">
        <v>2</v>
      </c>
      <c r="AO100">
        <v>10</v>
      </c>
      <c r="AP100" t="s">
        <v>2409</v>
      </c>
      <c r="AQ100" t="s">
        <v>2274</v>
      </c>
      <c r="AR100" t="s">
        <v>2410</v>
      </c>
      <c r="AS100" t="s">
        <v>28</v>
      </c>
      <c r="AT100" t="s">
        <v>1400</v>
      </c>
      <c r="AU100" t="s">
        <v>28</v>
      </c>
      <c r="AV100" t="s">
        <v>2276</v>
      </c>
      <c r="AW100" t="s">
        <v>2277</v>
      </c>
      <c r="AX100" t="s">
        <v>1552</v>
      </c>
      <c r="AY100">
        <v>10</v>
      </c>
      <c r="AZ100">
        <v>8</v>
      </c>
      <c r="BA100" t="s">
        <v>28</v>
      </c>
      <c r="BB100" t="s">
        <v>28</v>
      </c>
      <c r="BC100" t="s">
        <v>28</v>
      </c>
      <c r="BD100" t="s">
        <v>28</v>
      </c>
      <c r="BE100" t="s">
        <v>28</v>
      </c>
      <c r="BF100" t="s">
        <v>28</v>
      </c>
      <c r="BG100">
        <v>993</v>
      </c>
      <c r="BH100" t="s">
        <v>452</v>
      </c>
      <c r="BI100" t="str">
        <f>HYPERLINK("http://dx.doi.org/10.3390/w10080993","http://dx.doi.org/10.3390/w10080993")</f>
        <v>http://dx.doi.org/10.3390/w10080993</v>
      </c>
      <c r="BJ100" t="s">
        <v>28</v>
      </c>
      <c r="BK100" t="s">
        <v>28</v>
      </c>
      <c r="BL100">
        <v>24</v>
      </c>
      <c r="BM100" t="s">
        <v>2278</v>
      </c>
      <c r="BN100" t="s">
        <v>2258</v>
      </c>
      <c r="BO100" t="s">
        <v>2279</v>
      </c>
      <c r="BP100" t="s">
        <v>2422</v>
      </c>
      <c r="BQ100" t="s">
        <v>28</v>
      </c>
      <c r="BR100" t="s">
        <v>2412</v>
      </c>
      <c r="BS100" t="s">
        <v>28</v>
      </c>
      <c r="BT100" t="s">
        <v>28</v>
      </c>
      <c r="BU100" t="s">
        <v>2261</v>
      </c>
      <c r="BV100" t="s">
        <v>1620</v>
      </c>
      <c r="BW100" t="str">
        <f>HYPERLINK("https%3A%2F%2Fwww.webofscience.com%2Fwos%2Fwoscc%2Ffull-record%2FWOS:000448462700027","View Full Record in Web of Science")</f>
        <v>View Full Record in Web of Science</v>
      </c>
    </row>
    <row r="101" spans="1:75" ht="17" customHeight="1" x14ac:dyDescent="0.35">
      <c r="A101">
        <f>COUNTIF(Scopus!$E$2:$E$128,"="&amp;Tabelle6[[#This Row],[Article Title]])</f>
        <v>0</v>
      </c>
      <c r="B101">
        <v>3</v>
      </c>
      <c r="C101" s="1" t="s">
        <v>2149</v>
      </c>
      <c r="D101" t="s">
        <v>1417</v>
      </c>
      <c r="E101" t="s">
        <v>1615</v>
      </c>
      <c r="F101">
        <v>2017</v>
      </c>
      <c r="G101" t="s">
        <v>1738</v>
      </c>
      <c r="H101" t="s">
        <v>28</v>
      </c>
      <c r="I101" t="s">
        <v>1737</v>
      </c>
      <c r="J101" t="s">
        <v>28</v>
      </c>
      <c r="K101" t="s">
        <v>1616</v>
      </c>
      <c r="L101" t="s">
        <v>28</v>
      </c>
      <c r="M101" t="s">
        <v>28</v>
      </c>
      <c r="N101" t="s">
        <v>1739</v>
      </c>
      <c r="O101" t="s">
        <v>1584</v>
      </c>
      <c r="P101" t="s">
        <v>28</v>
      </c>
      <c r="Q101" t="s">
        <v>2242</v>
      </c>
      <c r="R101" t="s">
        <v>2345</v>
      </c>
      <c r="S101" t="s">
        <v>1585</v>
      </c>
      <c r="T101" t="s">
        <v>1740</v>
      </c>
      <c r="U101" t="s">
        <v>1741</v>
      </c>
      <c r="V101" t="s">
        <v>2823</v>
      </c>
      <c r="W101" t="s">
        <v>28</v>
      </c>
      <c r="X101" t="s">
        <v>28</v>
      </c>
      <c r="Y101" t="s">
        <v>28</v>
      </c>
      <c r="Z101" s="5" t="s">
        <v>2824</v>
      </c>
      <c r="AA101" t="s">
        <v>2825</v>
      </c>
      <c r="AB101" t="s">
        <v>28</v>
      </c>
      <c r="AC101" t="s">
        <v>2826</v>
      </c>
      <c r="AD101" t="s">
        <v>2827</v>
      </c>
      <c r="AE101" t="s">
        <v>1618</v>
      </c>
      <c r="AF101" t="s">
        <v>1619</v>
      </c>
      <c r="AG101" t="s">
        <v>2828</v>
      </c>
      <c r="AH101" t="s">
        <v>2829</v>
      </c>
      <c r="AI101" t="s">
        <v>2830</v>
      </c>
      <c r="AJ101" t="s">
        <v>28</v>
      </c>
      <c r="AK101">
        <v>21</v>
      </c>
      <c r="AL101">
        <v>11</v>
      </c>
      <c r="AM101">
        <v>11</v>
      </c>
      <c r="AN101">
        <v>1</v>
      </c>
      <c r="AO101">
        <v>3</v>
      </c>
      <c r="AP101" t="s">
        <v>1419</v>
      </c>
      <c r="AQ101" t="s">
        <v>2354</v>
      </c>
      <c r="AR101" t="s">
        <v>2691</v>
      </c>
      <c r="AS101" t="s">
        <v>1590</v>
      </c>
      <c r="AT101" t="s">
        <v>28</v>
      </c>
      <c r="AU101" t="s">
        <v>1742</v>
      </c>
      <c r="AV101" t="s">
        <v>2692</v>
      </c>
      <c r="AW101" t="s">
        <v>28</v>
      </c>
      <c r="AX101" t="s">
        <v>28</v>
      </c>
      <c r="AY101" t="s">
        <v>28</v>
      </c>
      <c r="AZ101" t="s">
        <v>28</v>
      </c>
      <c r="BA101" t="s">
        <v>28</v>
      </c>
      <c r="BB101" t="s">
        <v>28</v>
      </c>
      <c r="BC101" t="s">
        <v>28</v>
      </c>
      <c r="BD101" t="s">
        <v>28</v>
      </c>
      <c r="BE101">
        <v>1109</v>
      </c>
      <c r="BF101">
        <v>1120</v>
      </c>
      <c r="BG101" t="s">
        <v>28</v>
      </c>
      <c r="BH101" t="s">
        <v>28</v>
      </c>
      <c r="BI101" t="s">
        <v>28</v>
      </c>
      <c r="BJ101" t="s">
        <v>28</v>
      </c>
      <c r="BK101" t="s">
        <v>28</v>
      </c>
      <c r="BL101">
        <v>12</v>
      </c>
      <c r="BM101" t="s">
        <v>2831</v>
      </c>
      <c r="BN101" t="s">
        <v>2357</v>
      </c>
      <c r="BO101" t="s">
        <v>2832</v>
      </c>
      <c r="BP101" t="s">
        <v>2833</v>
      </c>
      <c r="BQ101" t="s">
        <v>28</v>
      </c>
      <c r="BR101" t="s">
        <v>28</v>
      </c>
      <c r="BS101" t="s">
        <v>28</v>
      </c>
      <c r="BT101" t="s">
        <v>28</v>
      </c>
      <c r="BU101" t="s">
        <v>2261</v>
      </c>
      <c r="BV101" t="s">
        <v>1743</v>
      </c>
      <c r="BW101" t="str">
        <f>HYPERLINK("https%3A%2F%2Fwww.webofscience.com%2Fwos%2Fwoscc%2Ffull-record%2FWOS:000427768601025","View Full Record in Web of Science")</f>
        <v>View Full Record in Web of Science</v>
      </c>
    </row>
    <row r="102" spans="1:75" x14ac:dyDescent="0.35">
      <c r="A102">
        <f>COUNTIF(Scopus!$E$2:$E$128,"="&amp;Tabelle6[[#This Row],[Article Title]])</f>
        <v>1</v>
      </c>
      <c r="B102">
        <v>1</v>
      </c>
      <c r="C102" s="1" t="s">
        <v>2148</v>
      </c>
      <c r="D102" t="s">
        <v>1417</v>
      </c>
      <c r="E102" t="s">
        <v>1833</v>
      </c>
      <c r="F102">
        <v>2015</v>
      </c>
      <c r="G102" t="s">
        <v>1835</v>
      </c>
      <c r="H102" t="s">
        <v>28</v>
      </c>
      <c r="I102" t="s">
        <v>28</v>
      </c>
      <c r="J102" t="s">
        <v>1419</v>
      </c>
      <c r="K102" t="s">
        <v>1834</v>
      </c>
      <c r="L102" t="s">
        <v>28</v>
      </c>
      <c r="M102" t="s">
        <v>28</v>
      </c>
      <c r="N102" t="s">
        <v>1836</v>
      </c>
      <c r="O102" t="s">
        <v>28</v>
      </c>
      <c r="P102" t="s">
        <v>28</v>
      </c>
      <c r="Q102" t="s">
        <v>2242</v>
      </c>
      <c r="R102" t="s">
        <v>2345</v>
      </c>
      <c r="S102" t="s">
        <v>1837</v>
      </c>
      <c r="T102" t="s">
        <v>1838</v>
      </c>
      <c r="U102" t="s">
        <v>1839</v>
      </c>
      <c r="V102" t="s">
        <v>28</v>
      </c>
      <c r="W102" t="s">
        <v>28</v>
      </c>
      <c r="X102" t="s">
        <v>746</v>
      </c>
      <c r="Y102" t="s">
        <v>3114</v>
      </c>
      <c r="Z102" t="s">
        <v>3790</v>
      </c>
      <c r="AA102" t="s">
        <v>3791</v>
      </c>
      <c r="AB102" t="s">
        <v>28</v>
      </c>
      <c r="AC102" t="s">
        <v>3792</v>
      </c>
      <c r="AD102" t="s">
        <v>3793</v>
      </c>
      <c r="AE102" t="s">
        <v>1840</v>
      </c>
      <c r="AF102" t="s">
        <v>1841</v>
      </c>
      <c r="AG102" t="s">
        <v>28</v>
      </c>
      <c r="AH102" t="s">
        <v>28</v>
      </c>
      <c r="AI102" t="s">
        <v>28</v>
      </c>
      <c r="AJ102" t="s">
        <v>28</v>
      </c>
      <c r="AK102">
        <v>26</v>
      </c>
      <c r="AL102">
        <v>3</v>
      </c>
      <c r="AM102">
        <v>3</v>
      </c>
      <c r="AN102">
        <v>0</v>
      </c>
      <c r="AO102">
        <v>3</v>
      </c>
      <c r="AP102" t="s">
        <v>1419</v>
      </c>
      <c r="AQ102" t="s">
        <v>2354</v>
      </c>
      <c r="AR102" t="s">
        <v>2691</v>
      </c>
      <c r="AS102" t="s">
        <v>28</v>
      </c>
      <c r="AT102" t="s">
        <v>28</v>
      </c>
      <c r="AU102" t="s">
        <v>1842</v>
      </c>
      <c r="AV102" t="s">
        <v>28</v>
      </c>
      <c r="AW102" t="s">
        <v>28</v>
      </c>
      <c r="AX102" t="s">
        <v>28</v>
      </c>
      <c r="AY102" t="s">
        <v>28</v>
      </c>
      <c r="AZ102" t="s">
        <v>28</v>
      </c>
      <c r="BA102" t="s">
        <v>28</v>
      </c>
      <c r="BB102" t="s">
        <v>28</v>
      </c>
      <c r="BC102" t="s">
        <v>28</v>
      </c>
      <c r="BD102" t="s">
        <v>28</v>
      </c>
      <c r="BE102" t="s">
        <v>28</v>
      </c>
      <c r="BF102" t="s">
        <v>28</v>
      </c>
      <c r="BG102" t="s">
        <v>28</v>
      </c>
      <c r="BH102" t="s">
        <v>28</v>
      </c>
      <c r="BI102" t="s">
        <v>28</v>
      </c>
      <c r="BJ102" t="s">
        <v>28</v>
      </c>
      <c r="BK102" t="s">
        <v>28</v>
      </c>
      <c r="BL102">
        <v>6</v>
      </c>
      <c r="BM102" t="s">
        <v>3794</v>
      </c>
      <c r="BN102" t="s">
        <v>2357</v>
      </c>
      <c r="BO102" t="s">
        <v>2646</v>
      </c>
      <c r="BP102" t="s">
        <v>3795</v>
      </c>
      <c r="BQ102" t="s">
        <v>28</v>
      </c>
      <c r="BR102" t="s">
        <v>28</v>
      </c>
      <c r="BS102" t="s">
        <v>28</v>
      </c>
      <c r="BT102" t="s">
        <v>28</v>
      </c>
      <c r="BU102" t="s">
        <v>2261</v>
      </c>
      <c r="BV102" t="s">
        <v>1843</v>
      </c>
      <c r="BW102" t="str">
        <f>HYPERLINK("https%3A%2F%2Fwww.webofscience.com%2Fwos%2Fwoscc%2Ffull-record%2FWOS:000380546800035","View Full Record in Web of Science")</f>
        <v>View Full Record in Web of Science</v>
      </c>
    </row>
    <row r="103" spans="1:75" x14ac:dyDescent="0.35">
      <c r="A103">
        <f>COUNTIF(Scopus!$E$2:$E$128,"="&amp;Tabelle6[[#This Row],[Article Title]])</f>
        <v>1</v>
      </c>
      <c r="B103">
        <v>1</v>
      </c>
      <c r="C103" s="1" t="s">
        <v>2148</v>
      </c>
      <c r="D103" t="s">
        <v>1321</v>
      </c>
      <c r="E103" t="s">
        <v>2716</v>
      </c>
      <c r="F103" t="s">
        <v>28</v>
      </c>
      <c r="G103" t="s">
        <v>2718</v>
      </c>
      <c r="H103" t="s">
        <v>28</v>
      </c>
      <c r="I103" t="s">
        <v>28</v>
      </c>
      <c r="J103" t="s">
        <v>28</v>
      </c>
      <c r="K103" t="s">
        <v>2717</v>
      </c>
      <c r="L103" t="s">
        <v>28</v>
      </c>
      <c r="M103" t="s">
        <v>28</v>
      </c>
      <c r="N103" t="s">
        <v>2719</v>
      </c>
      <c r="O103" t="s">
        <v>28</v>
      </c>
      <c r="P103" t="s">
        <v>28</v>
      </c>
      <c r="Q103" t="s">
        <v>2242</v>
      </c>
      <c r="R103" t="s">
        <v>2720</v>
      </c>
      <c r="S103" t="s">
        <v>28</v>
      </c>
      <c r="T103" t="s">
        <v>28</v>
      </c>
      <c r="U103" t="s">
        <v>28</v>
      </c>
      <c r="V103" t="s">
        <v>28</v>
      </c>
      <c r="W103" t="s">
        <v>28</v>
      </c>
      <c r="X103" t="s">
        <v>2721</v>
      </c>
      <c r="Y103" t="s">
        <v>2722</v>
      </c>
      <c r="Z103" t="s">
        <v>2723</v>
      </c>
      <c r="AA103" t="s">
        <v>2724</v>
      </c>
      <c r="AB103" t="s">
        <v>28</v>
      </c>
      <c r="AC103" t="s">
        <v>2725</v>
      </c>
      <c r="AD103" t="s">
        <v>2726</v>
      </c>
      <c r="AE103" t="s">
        <v>28</v>
      </c>
      <c r="AF103" t="s">
        <v>2727</v>
      </c>
      <c r="AG103" t="s">
        <v>2728</v>
      </c>
      <c r="AH103" t="s">
        <v>2729</v>
      </c>
      <c r="AI103" t="s">
        <v>2730</v>
      </c>
      <c r="AJ103" t="s">
        <v>28</v>
      </c>
      <c r="AK103">
        <v>46</v>
      </c>
      <c r="AL103">
        <v>0</v>
      </c>
      <c r="AM103">
        <v>0</v>
      </c>
      <c r="AN103">
        <v>0</v>
      </c>
      <c r="AO103">
        <v>0</v>
      </c>
      <c r="AP103" t="s">
        <v>2632</v>
      </c>
      <c r="AQ103" t="s">
        <v>2511</v>
      </c>
      <c r="AR103" t="s">
        <v>2512</v>
      </c>
      <c r="AS103" t="s">
        <v>2731</v>
      </c>
      <c r="AT103" t="s">
        <v>2732</v>
      </c>
      <c r="AU103" t="s">
        <v>28</v>
      </c>
      <c r="AV103" t="s">
        <v>2733</v>
      </c>
      <c r="AW103" t="s">
        <v>2734</v>
      </c>
      <c r="AX103" t="s">
        <v>28</v>
      </c>
      <c r="AY103" t="s">
        <v>28</v>
      </c>
      <c r="AZ103" t="s">
        <v>28</v>
      </c>
      <c r="BA103" t="s">
        <v>28</v>
      </c>
      <c r="BB103" t="s">
        <v>28</v>
      </c>
      <c r="BC103" t="s">
        <v>28</v>
      </c>
      <c r="BD103" t="s">
        <v>28</v>
      </c>
      <c r="BE103" t="s">
        <v>28</v>
      </c>
      <c r="BF103" t="s">
        <v>28</v>
      </c>
      <c r="BG103" t="s">
        <v>28</v>
      </c>
      <c r="BH103" t="s">
        <v>2735</v>
      </c>
      <c r="BI103" t="str">
        <f>HYPERLINK("http://dx.doi.org/10.1111/1752-1688.13009","http://dx.doi.org/10.1111/1752-1688.13009")</f>
        <v>http://dx.doi.org/10.1111/1752-1688.13009</v>
      </c>
      <c r="BJ103" t="s">
        <v>28</v>
      </c>
      <c r="BK103" t="s">
        <v>2736</v>
      </c>
      <c r="BL103">
        <v>15</v>
      </c>
      <c r="BM103" t="s">
        <v>2737</v>
      </c>
      <c r="BN103" t="s">
        <v>2314</v>
      </c>
      <c r="BO103" t="s">
        <v>2738</v>
      </c>
      <c r="BP103" t="s">
        <v>2739</v>
      </c>
      <c r="BQ103" t="s">
        <v>28</v>
      </c>
      <c r="BR103" t="s">
        <v>28</v>
      </c>
      <c r="BS103" t="s">
        <v>28</v>
      </c>
      <c r="BT103" t="s">
        <v>28</v>
      </c>
      <c r="BU103" t="s">
        <v>2261</v>
      </c>
      <c r="BV103" t="s">
        <v>2740</v>
      </c>
      <c r="BW103" t="str">
        <f>HYPERLINK("https%3A%2F%2Fwww.webofscience.com%2Fwos%2Fwoscc%2Ffull-record%2FWOS:000799681200001","View Full Record in Web of Science")</f>
        <v>View Full Record in Web of Science</v>
      </c>
    </row>
    <row r="104" spans="1:75" ht="15.5" customHeight="1" x14ac:dyDescent="0.35">
      <c r="A104">
        <f>COUNTIF(Scopus!$E$2:$E$128,"="&amp;Tabelle6[[#This Row],[Article Title]])</f>
        <v>0</v>
      </c>
      <c r="B104">
        <v>5</v>
      </c>
      <c r="C104" s="1" t="s">
        <v>4537</v>
      </c>
      <c r="D104" t="s">
        <v>1321</v>
      </c>
      <c r="E104" t="s">
        <v>1990</v>
      </c>
      <c r="F104">
        <v>2009</v>
      </c>
      <c r="G104" t="s">
        <v>1992</v>
      </c>
      <c r="H104" t="s">
        <v>28</v>
      </c>
      <c r="I104" t="s">
        <v>28</v>
      </c>
      <c r="J104" t="s">
        <v>28</v>
      </c>
      <c r="K104" t="s">
        <v>1991</v>
      </c>
      <c r="L104" t="s">
        <v>28</v>
      </c>
      <c r="M104" t="s">
        <v>28</v>
      </c>
      <c r="N104" t="s">
        <v>1993</v>
      </c>
      <c r="O104" t="s">
        <v>28</v>
      </c>
      <c r="P104" t="s">
        <v>28</v>
      </c>
      <c r="Q104" t="s">
        <v>2242</v>
      </c>
      <c r="R104" t="s">
        <v>34</v>
      </c>
      <c r="S104" t="s">
        <v>28</v>
      </c>
      <c r="T104" t="s">
        <v>28</v>
      </c>
      <c r="U104" t="s">
        <v>28</v>
      </c>
      <c r="V104" t="s">
        <v>28</v>
      </c>
      <c r="W104" t="s">
        <v>28</v>
      </c>
      <c r="X104" t="s">
        <v>28</v>
      </c>
      <c r="Y104" t="s">
        <v>2704</v>
      </c>
      <c r="Z104" t="s">
        <v>2705</v>
      </c>
      <c r="AA104" t="s">
        <v>2706</v>
      </c>
      <c r="AB104" t="s">
        <v>28</v>
      </c>
      <c r="AC104" t="s">
        <v>2707</v>
      </c>
      <c r="AD104" t="s">
        <v>2708</v>
      </c>
      <c r="AE104" t="s">
        <v>2709</v>
      </c>
      <c r="AF104" t="s">
        <v>2710</v>
      </c>
      <c r="AG104" t="s">
        <v>2711</v>
      </c>
      <c r="AH104" t="s">
        <v>2630</v>
      </c>
      <c r="AI104" t="s">
        <v>2712</v>
      </c>
      <c r="AJ104" t="s">
        <v>28</v>
      </c>
      <c r="AK104">
        <v>33</v>
      </c>
      <c r="AL104">
        <v>37</v>
      </c>
      <c r="AM104">
        <v>37</v>
      </c>
      <c r="AN104">
        <v>0</v>
      </c>
      <c r="AO104">
        <v>41</v>
      </c>
      <c r="AP104" t="s">
        <v>2632</v>
      </c>
      <c r="AQ104" t="s">
        <v>2511</v>
      </c>
      <c r="AR104" t="s">
        <v>2512</v>
      </c>
      <c r="AS104" t="s">
        <v>1994</v>
      </c>
      <c r="AT104" t="s">
        <v>1995</v>
      </c>
      <c r="AU104" t="s">
        <v>28</v>
      </c>
      <c r="AV104" t="s">
        <v>2713</v>
      </c>
      <c r="AW104" t="s">
        <v>2714</v>
      </c>
      <c r="AX104" t="s">
        <v>1988</v>
      </c>
      <c r="AY104">
        <v>57</v>
      </c>
      <c r="AZ104">
        <v>4</v>
      </c>
      <c r="BA104" t="s">
        <v>28</v>
      </c>
      <c r="BB104" t="s">
        <v>28</v>
      </c>
      <c r="BC104" t="s">
        <v>28</v>
      </c>
      <c r="BD104" t="s">
        <v>28</v>
      </c>
      <c r="BE104">
        <v>513</v>
      </c>
      <c r="BF104">
        <v>536</v>
      </c>
      <c r="BG104" t="s">
        <v>28</v>
      </c>
      <c r="BH104" t="s">
        <v>1996</v>
      </c>
      <c r="BI104" t="str">
        <f>HYPERLINK("http://dx.doi.org/10.1111/j.1744-7976.2009.01168.x","http://dx.doi.org/10.1111/j.1744-7976.2009.01168.x")</f>
        <v>http://dx.doi.org/10.1111/j.1744-7976.2009.01168.x</v>
      </c>
      <c r="BJ104" t="s">
        <v>28</v>
      </c>
      <c r="BK104" t="s">
        <v>28</v>
      </c>
      <c r="BL104">
        <v>24</v>
      </c>
      <c r="BM104" t="s">
        <v>2515</v>
      </c>
      <c r="BN104" t="s">
        <v>2258</v>
      </c>
      <c r="BO104" t="s">
        <v>2517</v>
      </c>
      <c r="BP104" t="s">
        <v>2715</v>
      </c>
      <c r="BQ104" t="s">
        <v>28</v>
      </c>
      <c r="BR104" t="s">
        <v>2317</v>
      </c>
      <c r="BS104" t="s">
        <v>28</v>
      </c>
      <c r="BT104" t="s">
        <v>28</v>
      </c>
      <c r="BU104" t="s">
        <v>2261</v>
      </c>
      <c r="BV104" t="s">
        <v>1997</v>
      </c>
      <c r="BW104" t="str">
        <f>HYPERLINK("https%3A%2F%2Fwww.webofscience.com%2Fwos%2Fwoscc%2Ffull-record%2FWOS:000270900500006","View Full Record in Web of Science")</f>
        <v>View Full Record in Web of Science</v>
      </c>
    </row>
    <row r="105" spans="1:75" x14ac:dyDescent="0.35">
      <c r="A105">
        <f>COUNTIF(Scopus!$E$2:$E$128,"="&amp;Tabelle6[[#This Row],[Article Title]])</f>
        <v>0</v>
      </c>
      <c r="B105">
        <v>3</v>
      </c>
      <c r="C105" s="1" t="s">
        <v>2149</v>
      </c>
      <c r="D105" t="s">
        <v>1321</v>
      </c>
      <c r="E105" t="s">
        <v>1958</v>
      </c>
      <c r="F105">
        <v>2010</v>
      </c>
      <c r="G105" t="s">
        <v>1960</v>
      </c>
      <c r="H105" t="s">
        <v>28</v>
      </c>
      <c r="I105" t="s">
        <v>28</v>
      </c>
      <c r="J105" t="s">
        <v>28</v>
      </c>
      <c r="K105" t="s">
        <v>1959</v>
      </c>
      <c r="L105" t="s">
        <v>28</v>
      </c>
      <c r="M105" t="s">
        <v>28</v>
      </c>
      <c r="N105" t="s">
        <v>1961</v>
      </c>
      <c r="O105" t="s">
        <v>28</v>
      </c>
      <c r="P105" t="s">
        <v>28</v>
      </c>
      <c r="Q105" t="s">
        <v>2242</v>
      </c>
      <c r="R105" t="s">
        <v>34</v>
      </c>
      <c r="S105" t="s">
        <v>28</v>
      </c>
      <c r="T105" t="s">
        <v>28</v>
      </c>
      <c r="U105" t="s">
        <v>28</v>
      </c>
      <c r="V105" t="s">
        <v>28</v>
      </c>
      <c r="W105" t="s">
        <v>28</v>
      </c>
      <c r="X105" t="s">
        <v>2623</v>
      </c>
      <c r="Y105" t="s">
        <v>2624</v>
      </c>
      <c r="Z105" t="s">
        <v>2625</v>
      </c>
      <c r="AA105" t="s">
        <v>2626</v>
      </c>
      <c r="AB105" t="s">
        <v>28</v>
      </c>
      <c r="AC105" t="s">
        <v>2627</v>
      </c>
      <c r="AD105" t="s">
        <v>2628</v>
      </c>
      <c r="AE105" t="s">
        <v>28</v>
      </c>
      <c r="AF105" t="s">
        <v>1962</v>
      </c>
      <c r="AG105" t="s">
        <v>2629</v>
      </c>
      <c r="AH105" t="s">
        <v>2630</v>
      </c>
      <c r="AI105" t="s">
        <v>2631</v>
      </c>
      <c r="AJ105" t="s">
        <v>28</v>
      </c>
      <c r="AK105">
        <v>61</v>
      </c>
      <c r="AL105">
        <v>32</v>
      </c>
      <c r="AM105">
        <v>32</v>
      </c>
      <c r="AN105">
        <v>0</v>
      </c>
      <c r="AO105">
        <v>45</v>
      </c>
      <c r="AP105" t="s">
        <v>2632</v>
      </c>
      <c r="AQ105" t="s">
        <v>2511</v>
      </c>
      <c r="AR105" t="s">
        <v>2512</v>
      </c>
      <c r="AS105" t="s">
        <v>1963</v>
      </c>
      <c r="AT105" t="s">
        <v>1964</v>
      </c>
      <c r="AU105" t="s">
        <v>28</v>
      </c>
      <c r="AV105" t="s">
        <v>2513</v>
      </c>
      <c r="AW105" t="s">
        <v>2514</v>
      </c>
      <c r="AX105" t="s">
        <v>1437</v>
      </c>
      <c r="AY105">
        <v>41</v>
      </c>
      <c r="AZ105">
        <v>6</v>
      </c>
      <c r="BA105" t="s">
        <v>28</v>
      </c>
      <c r="BB105" t="s">
        <v>28</v>
      </c>
      <c r="BC105" t="s">
        <v>28</v>
      </c>
      <c r="BD105" t="s">
        <v>28</v>
      </c>
      <c r="BE105">
        <v>519</v>
      </c>
      <c r="BF105">
        <v>536</v>
      </c>
      <c r="BG105" t="s">
        <v>28</v>
      </c>
      <c r="BH105" t="s">
        <v>1965</v>
      </c>
      <c r="BI105" t="str">
        <f>HYPERLINK("http://dx.doi.org/10.1111/j.1574-0862.2010.00467.x","http://dx.doi.org/10.1111/j.1574-0862.2010.00467.x")</f>
        <v>http://dx.doi.org/10.1111/j.1574-0862.2010.00467.x</v>
      </c>
      <c r="BJ105" t="s">
        <v>28</v>
      </c>
      <c r="BK105" t="s">
        <v>28</v>
      </c>
      <c r="BL105">
        <v>18</v>
      </c>
      <c r="BM105" t="s">
        <v>2515</v>
      </c>
      <c r="BN105" t="s">
        <v>2258</v>
      </c>
      <c r="BO105" t="s">
        <v>2517</v>
      </c>
      <c r="BP105" t="s">
        <v>2633</v>
      </c>
      <c r="BQ105" t="s">
        <v>28</v>
      </c>
      <c r="BR105" t="s">
        <v>28</v>
      </c>
      <c r="BS105" t="s">
        <v>28</v>
      </c>
      <c r="BT105" t="s">
        <v>28</v>
      </c>
      <c r="BU105" t="s">
        <v>2261</v>
      </c>
      <c r="BV105" t="s">
        <v>1966</v>
      </c>
      <c r="BW105" t="str">
        <f>HYPERLINK("https%3A%2F%2Fwww.webofscience.com%2Fwos%2Fwoscc%2Ffull-record%2FWOS:000284290000002","View Full Record in Web of Science")</f>
        <v>View Full Record in Web of Science</v>
      </c>
    </row>
    <row r="106" spans="1:75" ht="17.5" customHeight="1" x14ac:dyDescent="0.35">
      <c r="A106">
        <f>COUNTIF(Scopus!$E$2:$E$128,"="&amp;Tabelle6[[#This Row],[Article Title]])</f>
        <v>0</v>
      </c>
      <c r="B106">
        <v>0</v>
      </c>
      <c r="C106" t="s">
        <v>4532</v>
      </c>
      <c r="D106" t="s">
        <v>1321</v>
      </c>
      <c r="E106" t="s">
        <v>2935</v>
      </c>
      <c r="F106">
        <v>2009</v>
      </c>
      <c r="G106" s="5" t="s">
        <v>2937</v>
      </c>
      <c r="H106" t="s">
        <v>28</v>
      </c>
      <c r="I106" t="s">
        <v>28</v>
      </c>
      <c r="J106" t="s">
        <v>28</v>
      </c>
      <c r="K106" t="s">
        <v>2936</v>
      </c>
      <c r="L106" t="s">
        <v>28</v>
      </c>
      <c r="M106" t="s">
        <v>28</v>
      </c>
      <c r="N106" t="s">
        <v>2938</v>
      </c>
      <c r="O106" t="s">
        <v>28</v>
      </c>
      <c r="P106" t="s">
        <v>28</v>
      </c>
      <c r="Q106" t="s">
        <v>2242</v>
      </c>
      <c r="R106" t="s">
        <v>34</v>
      </c>
      <c r="S106" t="s">
        <v>28</v>
      </c>
      <c r="T106" t="s">
        <v>28</v>
      </c>
      <c r="U106" t="s">
        <v>28</v>
      </c>
      <c r="V106" t="s">
        <v>28</v>
      </c>
      <c r="W106" t="s">
        <v>28</v>
      </c>
      <c r="X106" t="s">
        <v>2939</v>
      </c>
      <c r="Y106" t="s">
        <v>2940</v>
      </c>
      <c r="Z106" t="s">
        <v>2941</v>
      </c>
      <c r="AA106" t="s">
        <v>2942</v>
      </c>
      <c r="AB106" t="s">
        <v>28</v>
      </c>
      <c r="AC106" t="s">
        <v>2943</v>
      </c>
      <c r="AD106" t="s">
        <v>2944</v>
      </c>
      <c r="AE106" t="s">
        <v>2945</v>
      </c>
      <c r="AF106" t="s">
        <v>2946</v>
      </c>
      <c r="AG106" t="s">
        <v>28</v>
      </c>
      <c r="AH106" t="s">
        <v>28</v>
      </c>
      <c r="AI106" t="s">
        <v>28</v>
      </c>
      <c r="AJ106" t="s">
        <v>28</v>
      </c>
      <c r="AK106">
        <v>48</v>
      </c>
      <c r="AL106">
        <v>177</v>
      </c>
      <c r="AM106">
        <v>178</v>
      </c>
      <c r="AN106">
        <v>7</v>
      </c>
      <c r="AO106">
        <v>102</v>
      </c>
      <c r="AP106" t="s">
        <v>2947</v>
      </c>
      <c r="AQ106" t="s">
        <v>2354</v>
      </c>
      <c r="AR106" t="s">
        <v>2948</v>
      </c>
      <c r="AS106" t="s">
        <v>2949</v>
      </c>
      <c r="AT106" t="s">
        <v>2950</v>
      </c>
      <c r="AU106" t="s">
        <v>28</v>
      </c>
      <c r="AV106" t="s">
        <v>2951</v>
      </c>
      <c r="AW106" t="s">
        <v>2952</v>
      </c>
      <c r="AX106" t="s">
        <v>1559</v>
      </c>
      <c r="AY106">
        <v>76</v>
      </c>
      <c r="AZ106">
        <v>4</v>
      </c>
      <c r="BA106" t="s">
        <v>28</v>
      </c>
      <c r="BB106" t="s">
        <v>28</v>
      </c>
      <c r="BC106" t="s">
        <v>1639</v>
      </c>
      <c r="BD106" t="s">
        <v>28</v>
      </c>
      <c r="BE106">
        <v>497</v>
      </c>
      <c r="BF106">
        <v>511</v>
      </c>
      <c r="BG106" t="s">
        <v>28</v>
      </c>
      <c r="BH106" t="s">
        <v>2953</v>
      </c>
      <c r="BI106" t="str">
        <f>HYPERLINK("http://dx.doi.org/10.1016/j.techfore.2008.03.024","http://dx.doi.org/10.1016/j.techfore.2008.03.024")</f>
        <v>http://dx.doi.org/10.1016/j.techfore.2008.03.024</v>
      </c>
      <c r="BJ106" t="s">
        <v>28</v>
      </c>
      <c r="BK106" t="s">
        <v>28</v>
      </c>
      <c r="BL106">
        <v>15</v>
      </c>
      <c r="BM106" t="s">
        <v>2954</v>
      </c>
      <c r="BN106" t="s">
        <v>2465</v>
      </c>
      <c r="BO106" t="s">
        <v>2955</v>
      </c>
      <c r="BP106" t="s">
        <v>2956</v>
      </c>
      <c r="BQ106" t="s">
        <v>28</v>
      </c>
      <c r="BR106" t="s">
        <v>28</v>
      </c>
      <c r="BS106" t="s">
        <v>28</v>
      </c>
      <c r="BT106" t="s">
        <v>28</v>
      </c>
      <c r="BU106" t="s">
        <v>2261</v>
      </c>
      <c r="BV106" t="s">
        <v>2957</v>
      </c>
      <c r="BW106" t="str">
        <f>HYPERLINK("https%3A%2F%2Fwww.webofscience.com%2Fwos%2Fwoscc%2Ffull-record%2FWOS:000265517500006","View Full Record in Web of Science")</f>
        <v>View Full Record in Web of Science</v>
      </c>
    </row>
    <row r="107" spans="1:75" x14ac:dyDescent="0.35">
      <c r="A107">
        <f>COUNTIF(Scopus!$E$2:$E$128,"="&amp;Tabelle6[[#This Row],[Article Title]])</f>
        <v>1</v>
      </c>
      <c r="B107">
        <v>1</v>
      </c>
      <c r="C107" s="1" t="s">
        <v>2148</v>
      </c>
      <c r="D107" t="s">
        <v>1321</v>
      </c>
      <c r="E107" t="s">
        <v>1451</v>
      </c>
      <c r="F107">
        <v>2020</v>
      </c>
      <c r="G107" t="s">
        <v>1453</v>
      </c>
      <c r="H107" t="s">
        <v>28</v>
      </c>
      <c r="I107" t="s">
        <v>28</v>
      </c>
      <c r="J107" t="s">
        <v>28</v>
      </c>
      <c r="K107" t="s">
        <v>1452</v>
      </c>
      <c r="L107" t="s">
        <v>28</v>
      </c>
      <c r="M107" t="s">
        <v>28</v>
      </c>
      <c r="N107" t="s">
        <v>1454</v>
      </c>
      <c r="O107" t="s">
        <v>28</v>
      </c>
      <c r="P107" t="s">
        <v>28</v>
      </c>
      <c r="Q107" t="s">
        <v>2242</v>
      </c>
      <c r="R107" t="s">
        <v>2469</v>
      </c>
      <c r="S107" t="s">
        <v>1455</v>
      </c>
      <c r="T107" t="s">
        <v>1456</v>
      </c>
      <c r="U107" t="s">
        <v>1425</v>
      </c>
      <c r="V107" t="s">
        <v>1457</v>
      </c>
      <c r="W107" t="s">
        <v>28</v>
      </c>
      <c r="X107" t="s">
        <v>28</v>
      </c>
      <c r="Y107" t="s">
        <v>2634</v>
      </c>
      <c r="Z107" t="s">
        <v>2635</v>
      </c>
      <c r="AA107" t="s">
        <v>2636</v>
      </c>
      <c r="AB107" t="s">
        <v>28</v>
      </c>
      <c r="AC107" t="s">
        <v>2637</v>
      </c>
      <c r="AD107" t="s">
        <v>2638</v>
      </c>
      <c r="AE107" t="s">
        <v>28</v>
      </c>
      <c r="AF107" t="s">
        <v>1458</v>
      </c>
      <c r="AG107" t="s">
        <v>28</v>
      </c>
      <c r="AH107" t="s">
        <v>28</v>
      </c>
      <c r="AI107" t="s">
        <v>28</v>
      </c>
      <c r="AJ107" t="s">
        <v>28</v>
      </c>
      <c r="AK107">
        <v>27</v>
      </c>
      <c r="AL107">
        <v>0</v>
      </c>
      <c r="AM107">
        <v>0</v>
      </c>
      <c r="AN107">
        <v>0</v>
      </c>
      <c r="AO107">
        <v>1</v>
      </c>
      <c r="AP107" t="s">
        <v>2639</v>
      </c>
      <c r="AQ107" t="s">
        <v>2640</v>
      </c>
      <c r="AR107" t="s">
        <v>2641</v>
      </c>
      <c r="AS107" t="s">
        <v>1459</v>
      </c>
      <c r="AT107" t="s">
        <v>28</v>
      </c>
      <c r="AU107" t="s">
        <v>28</v>
      </c>
      <c r="AV107" t="s">
        <v>2642</v>
      </c>
      <c r="AW107" t="s">
        <v>2643</v>
      </c>
      <c r="AX107" t="s">
        <v>1437</v>
      </c>
      <c r="AY107">
        <v>31</v>
      </c>
      <c r="AZ107">
        <v>3</v>
      </c>
      <c r="BA107" t="s">
        <v>28</v>
      </c>
      <c r="BB107" t="s">
        <v>28</v>
      </c>
      <c r="BC107" t="s">
        <v>28</v>
      </c>
      <c r="BD107" t="s">
        <v>28</v>
      </c>
      <c r="BE107">
        <v>122</v>
      </c>
      <c r="BF107">
        <v>132</v>
      </c>
      <c r="BG107" t="s">
        <v>28</v>
      </c>
      <c r="BH107" t="s">
        <v>282</v>
      </c>
      <c r="BI107" t="str">
        <f>HYPERLINK("http://dx.doi.org/10.7166/31-3-2425","http://dx.doi.org/10.7166/31-3-2425")</f>
        <v>http://dx.doi.org/10.7166/31-3-2425</v>
      </c>
      <c r="BJ107" t="s">
        <v>28</v>
      </c>
      <c r="BK107" t="s">
        <v>28</v>
      </c>
      <c r="BL107">
        <v>11</v>
      </c>
      <c r="BM107" t="s">
        <v>2644</v>
      </c>
      <c r="BN107" t="s">
        <v>2645</v>
      </c>
      <c r="BO107" t="s">
        <v>2646</v>
      </c>
      <c r="BP107" t="s">
        <v>2647</v>
      </c>
      <c r="BQ107" t="s">
        <v>28</v>
      </c>
      <c r="BR107" t="s">
        <v>2648</v>
      </c>
      <c r="BS107" t="s">
        <v>28</v>
      </c>
      <c r="BT107" t="s">
        <v>28</v>
      </c>
      <c r="BU107" t="s">
        <v>2261</v>
      </c>
      <c r="BV107" t="s">
        <v>1460</v>
      </c>
      <c r="BW107" t="str">
        <f>HYPERLINK("https%3A%2F%2Fwww.webofscience.com%2Fwos%2Fwoscc%2Ffull-record%2FWOS:000590436100012","View Full Record in Web of Science")</f>
        <v>View Full Record in Web of Science</v>
      </c>
    </row>
    <row r="108" spans="1:75" ht="19" customHeight="1" x14ac:dyDescent="0.35">
      <c r="A108">
        <f>COUNTIF(Scopus!$E$2:$E$128,"="&amp;Tabelle6[[#This Row],[Article Title]])</f>
        <v>0</v>
      </c>
      <c r="B108">
        <v>3</v>
      </c>
      <c r="C108" s="1" t="s">
        <v>2149</v>
      </c>
      <c r="D108" t="s">
        <v>1321</v>
      </c>
      <c r="E108" t="s">
        <v>3361</v>
      </c>
      <c r="F108">
        <v>2018</v>
      </c>
      <c r="G108" s="5" t="s">
        <v>3363</v>
      </c>
      <c r="H108" t="s">
        <v>28</v>
      </c>
      <c r="I108" t="s">
        <v>28</v>
      </c>
      <c r="J108" t="s">
        <v>28</v>
      </c>
      <c r="K108" t="s">
        <v>3362</v>
      </c>
      <c r="L108" t="s">
        <v>28</v>
      </c>
      <c r="M108" t="s">
        <v>28</v>
      </c>
      <c r="N108" t="s">
        <v>3364</v>
      </c>
      <c r="O108" t="s">
        <v>28</v>
      </c>
      <c r="P108" t="s">
        <v>28</v>
      </c>
      <c r="Q108" t="s">
        <v>2242</v>
      </c>
      <c r="R108" t="s">
        <v>34</v>
      </c>
      <c r="S108" t="s">
        <v>28</v>
      </c>
      <c r="T108" t="s">
        <v>28</v>
      </c>
      <c r="U108" t="s">
        <v>28</v>
      </c>
      <c r="V108" t="s">
        <v>28</v>
      </c>
      <c r="W108" t="s">
        <v>28</v>
      </c>
      <c r="X108" t="s">
        <v>3365</v>
      </c>
      <c r="Y108" t="s">
        <v>28</v>
      </c>
      <c r="Z108" t="s">
        <v>3366</v>
      </c>
      <c r="AA108" t="s">
        <v>3367</v>
      </c>
      <c r="AB108" t="s">
        <v>28</v>
      </c>
      <c r="AC108" t="s">
        <v>3368</v>
      </c>
      <c r="AD108" t="s">
        <v>3369</v>
      </c>
      <c r="AE108" t="s">
        <v>3370</v>
      </c>
      <c r="AF108" t="s">
        <v>28</v>
      </c>
      <c r="AG108" t="s">
        <v>28</v>
      </c>
      <c r="AH108" t="s">
        <v>28</v>
      </c>
      <c r="AI108" t="s">
        <v>28</v>
      </c>
      <c r="AJ108" t="s">
        <v>28</v>
      </c>
      <c r="AK108">
        <v>21</v>
      </c>
      <c r="AL108">
        <v>2</v>
      </c>
      <c r="AM108">
        <v>2</v>
      </c>
      <c r="AN108">
        <v>0</v>
      </c>
      <c r="AO108">
        <v>2</v>
      </c>
      <c r="AP108" t="s">
        <v>3371</v>
      </c>
      <c r="AQ108" t="s">
        <v>3372</v>
      </c>
      <c r="AR108" t="s">
        <v>3373</v>
      </c>
      <c r="AS108" t="s">
        <v>3374</v>
      </c>
      <c r="AT108" t="s">
        <v>28</v>
      </c>
      <c r="AU108" t="s">
        <v>28</v>
      </c>
      <c r="AV108" t="s">
        <v>3375</v>
      </c>
      <c r="AW108" t="s">
        <v>3376</v>
      </c>
      <c r="AX108" t="s">
        <v>28</v>
      </c>
      <c r="AY108">
        <v>10</v>
      </c>
      <c r="AZ108">
        <v>6</v>
      </c>
      <c r="BA108" t="s">
        <v>28</v>
      </c>
      <c r="BB108" t="s">
        <v>28</v>
      </c>
      <c r="BC108" t="s">
        <v>28</v>
      </c>
      <c r="BD108" t="s">
        <v>28</v>
      </c>
      <c r="BE108">
        <v>18</v>
      </c>
      <c r="BF108">
        <v>44</v>
      </c>
      <c r="BG108" t="s">
        <v>28</v>
      </c>
      <c r="BH108" t="s">
        <v>3377</v>
      </c>
      <c r="BI108" t="str">
        <f>HYPERLINK("http://dx.doi.org/10.15828/2075-8545-2018-10-6-18-44","http://dx.doi.org/10.15828/2075-8545-2018-10-6-18-44")</f>
        <v>http://dx.doi.org/10.15828/2075-8545-2018-10-6-18-44</v>
      </c>
      <c r="BJ108" t="s">
        <v>28</v>
      </c>
      <c r="BK108" t="s">
        <v>28</v>
      </c>
      <c r="BL108">
        <v>27</v>
      </c>
      <c r="BM108" t="s">
        <v>3378</v>
      </c>
      <c r="BN108" t="s">
        <v>2771</v>
      </c>
      <c r="BO108" t="s">
        <v>3379</v>
      </c>
      <c r="BP108" t="s">
        <v>3380</v>
      </c>
      <c r="BQ108" t="s">
        <v>28</v>
      </c>
      <c r="BR108" t="s">
        <v>28</v>
      </c>
      <c r="BS108" t="s">
        <v>28</v>
      </c>
      <c r="BT108" t="s">
        <v>28</v>
      </c>
      <c r="BU108" t="s">
        <v>2261</v>
      </c>
      <c r="BV108" t="s">
        <v>3381</v>
      </c>
      <c r="BW108" t="str">
        <f>HYPERLINK("https%3A%2F%2Fwww.webofscience.com%2Fwos%2Fwoscc%2Ffull-record%2FWOS:000457171100001","View Full Record in Web of Science")</f>
        <v>View Full Record in Web of Science</v>
      </c>
    </row>
    <row r="109" spans="1:75" x14ac:dyDescent="0.35">
      <c r="A109">
        <f>COUNTIF(Scopus!$E$2:$E$128,"="&amp;Tabelle6[[#This Row],[Article Title]])</f>
        <v>1</v>
      </c>
      <c r="B109">
        <v>1</v>
      </c>
      <c r="C109" s="1" t="s">
        <v>2148</v>
      </c>
      <c r="D109" t="s">
        <v>1321</v>
      </c>
      <c r="E109" t="s">
        <v>1945</v>
      </c>
      <c r="F109">
        <v>2011</v>
      </c>
      <c r="G109" t="s">
        <v>1045</v>
      </c>
      <c r="H109" t="s">
        <v>28</v>
      </c>
      <c r="I109" t="s">
        <v>28</v>
      </c>
      <c r="J109" t="s">
        <v>28</v>
      </c>
      <c r="K109" t="s">
        <v>1946</v>
      </c>
      <c r="L109" t="s">
        <v>28</v>
      </c>
      <c r="M109" t="s">
        <v>28</v>
      </c>
      <c r="N109" t="s">
        <v>1947</v>
      </c>
      <c r="O109" t="s">
        <v>28</v>
      </c>
      <c r="P109" t="s">
        <v>28</v>
      </c>
      <c r="Q109" t="s">
        <v>2242</v>
      </c>
      <c r="R109" t="s">
        <v>34</v>
      </c>
      <c r="S109" t="s">
        <v>28</v>
      </c>
      <c r="T109" t="s">
        <v>28</v>
      </c>
      <c r="U109" t="s">
        <v>28</v>
      </c>
      <c r="V109" t="s">
        <v>28</v>
      </c>
      <c r="W109" t="s">
        <v>28</v>
      </c>
      <c r="X109" t="s">
        <v>2567</v>
      </c>
      <c r="Y109" t="s">
        <v>2568</v>
      </c>
      <c r="Z109" t="s">
        <v>2569</v>
      </c>
      <c r="AA109" t="s">
        <v>2570</v>
      </c>
      <c r="AB109" t="s">
        <v>28</v>
      </c>
      <c r="AC109" t="s">
        <v>2571</v>
      </c>
      <c r="AD109" t="s">
        <v>2572</v>
      </c>
      <c r="AE109" t="s">
        <v>2573</v>
      </c>
      <c r="AF109" t="s">
        <v>2574</v>
      </c>
      <c r="AG109" t="s">
        <v>2575</v>
      </c>
      <c r="AH109" t="s">
        <v>2576</v>
      </c>
      <c r="AI109" t="s">
        <v>2577</v>
      </c>
      <c r="AJ109" t="s">
        <v>28</v>
      </c>
      <c r="AK109">
        <v>38</v>
      </c>
      <c r="AL109">
        <v>33</v>
      </c>
      <c r="AM109">
        <v>33</v>
      </c>
      <c r="AN109">
        <v>0</v>
      </c>
      <c r="AO109">
        <v>38</v>
      </c>
      <c r="AP109" t="s">
        <v>2327</v>
      </c>
      <c r="AQ109" t="s">
        <v>2328</v>
      </c>
      <c r="AR109" t="s">
        <v>2329</v>
      </c>
      <c r="AS109" t="s">
        <v>1948</v>
      </c>
      <c r="AT109" t="s">
        <v>1949</v>
      </c>
      <c r="AU109" t="s">
        <v>28</v>
      </c>
      <c r="AV109" t="s">
        <v>2578</v>
      </c>
      <c r="AW109" t="s">
        <v>2579</v>
      </c>
      <c r="AX109" t="s">
        <v>1401</v>
      </c>
      <c r="AY109">
        <v>16</v>
      </c>
      <c r="AZ109">
        <v>4</v>
      </c>
      <c r="BA109" t="s">
        <v>28</v>
      </c>
      <c r="BB109" t="s">
        <v>28</v>
      </c>
      <c r="BC109" t="s">
        <v>28</v>
      </c>
      <c r="BD109" t="s">
        <v>28</v>
      </c>
      <c r="BE109">
        <v>477</v>
      </c>
      <c r="BF109">
        <v>498</v>
      </c>
      <c r="BG109" t="s">
        <v>28</v>
      </c>
      <c r="BH109" t="s">
        <v>1047</v>
      </c>
      <c r="BI109" t="str">
        <f>HYPERLINK("http://dx.doi.org/10.1007/s11027-010-9274-6","http://dx.doi.org/10.1007/s11027-010-9274-6")</f>
        <v>http://dx.doi.org/10.1007/s11027-010-9274-6</v>
      </c>
      <c r="BJ109" t="s">
        <v>28</v>
      </c>
      <c r="BK109" t="s">
        <v>28</v>
      </c>
      <c r="BL109">
        <v>22</v>
      </c>
      <c r="BM109" t="s">
        <v>2435</v>
      </c>
      <c r="BN109" t="s">
        <v>2314</v>
      </c>
      <c r="BO109" t="s">
        <v>2436</v>
      </c>
      <c r="BP109" t="s">
        <v>2580</v>
      </c>
      <c r="BQ109" t="s">
        <v>28</v>
      </c>
      <c r="BR109" t="s">
        <v>28</v>
      </c>
      <c r="BS109" t="s">
        <v>28</v>
      </c>
      <c r="BT109" t="s">
        <v>28</v>
      </c>
      <c r="BU109" t="s">
        <v>2261</v>
      </c>
      <c r="BV109" t="s">
        <v>1950</v>
      </c>
      <c r="BW109" t="str">
        <f>HYPERLINK("https%3A%2F%2Fwww.webofscience.com%2Fwos%2Fwoscc%2Ffull-record%2FWOS:000288256300005","View Full Record in Web of Science")</f>
        <v>View Full Record in Web of Science</v>
      </c>
    </row>
    <row r="110" spans="1:75" ht="17.5" customHeight="1" x14ac:dyDescent="0.35">
      <c r="A110">
        <f>COUNTIF(Scopus!$E$2:$E$128,"="&amp;Tabelle6[[#This Row],[Article Title]])</f>
        <v>0</v>
      </c>
      <c r="B110">
        <v>3</v>
      </c>
      <c r="C110" s="1" t="s">
        <v>2149</v>
      </c>
      <c r="D110" t="s">
        <v>1321</v>
      </c>
      <c r="E110" t="s">
        <v>1373</v>
      </c>
      <c r="F110">
        <v>2021</v>
      </c>
      <c r="G110" t="s">
        <v>1375</v>
      </c>
      <c r="H110" t="s">
        <v>28</v>
      </c>
      <c r="I110" t="s">
        <v>28</v>
      </c>
      <c r="J110" t="s">
        <v>28</v>
      </c>
      <c r="K110" t="s">
        <v>1374</v>
      </c>
      <c r="L110" t="s">
        <v>28</v>
      </c>
      <c r="M110" t="s">
        <v>28</v>
      </c>
      <c r="N110" t="s">
        <v>1376</v>
      </c>
      <c r="O110" t="s">
        <v>28</v>
      </c>
      <c r="P110" t="s">
        <v>28</v>
      </c>
      <c r="Q110" t="s">
        <v>2242</v>
      </c>
      <c r="R110" t="s">
        <v>34</v>
      </c>
      <c r="S110" t="s">
        <v>28</v>
      </c>
      <c r="T110" t="s">
        <v>28</v>
      </c>
      <c r="U110" t="s">
        <v>28</v>
      </c>
      <c r="V110" t="s">
        <v>28</v>
      </c>
      <c r="W110" t="s">
        <v>28</v>
      </c>
      <c r="X110" t="s">
        <v>3382</v>
      </c>
      <c r="Y110" t="s">
        <v>3383</v>
      </c>
      <c r="Z110" t="s">
        <v>3384</v>
      </c>
      <c r="AA110" t="s">
        <v>3385</v>
      </c>
      <c r="AB110" t="s">
        <v>28</v>
      </c>
      <c r="AC110" t="s">
        <v>3386</v>
      </c>
      <c r="AD110" t="s">
        <v>3387</v>
      </c>
      <c r="AE110" t="s">
        <v>28</v>
      </c>
      <c r="AF110" t="s">
        <v>28</v>
      </c>
      <c r="AG110" t="s">
        <v>3388</v>
      </c>
      <c r="AH110" t="s">
        <v>3389</v>
      </c>
      <c r="AI110" t="s">
        <v>3390</v>
      </c>
      <c r="AJ110" t="s">
        <v>28</v>
      </c>
      <c r="AK110">
        <v>35</v>
      </c>
      <c r="AL110">
        <v>1</v>
      </c>
      <c r="AM110">
        <v>1</v>
      </c>
      <c r="AN110">
        <v>3</v>
      </c>
      <c r="AO110">
        <v>9</v>
      </c>
      <c r="AP110" t="s">
        <v>3391</v>
      </c>
      <c r="AQ110" t="s">
        <v>2309</v>
      </c>
      <c r="AR110" t="s">
        <v>3392</v>
      </c>
      <c r="AS110" t="s">
        <v>28</v>
      </c>
      <c r="AT110" t="s">
        <v>1377</v>
      </c>
      <c r="AU110" t="s">
        <v>28</v>
      </c>
      <c r="AV110" t="s">
        <v>3393</v>
      </c>
      <c r="AW110" t="s">
        <v>3394</v>
      </c>
      <c r="AX110" t="s">
        <v>1378</v>
      </c>
      <c r="AY110" t="s">
        <v>28</v>
      </c>
      <c r="AZ110" t="s">
        <v>28</v>
      </c>
      <c r="BA110" t="s">
        <v>28</v>
      </c>
      <c r="BB110" t="s">
        <v>28</v>
      </c>
      <c r="BC110" t="s">
        <v>28</v>
      </c>
      <c r="BD110" t="s">
        <v>28</v>
      </c>
      <c r="BE110" t="s">
        <v>28</v>
      </c>
      <c r="BF110" t="s">
        <v>28</v>
      </c>
      <c r="BG110" t="s">
        <v>1379</v>
      </c>
      <c r="BH110" t="s">
        <v>1380</v>
      </c>
      <c r="BI110" t="str">
        <f>HYPERLINK("http://dx.doi.org/10.7717/peerj-cs.610","http://dx.doi.org/10.7717/peerj-cs.610")</f>
        <v>http://dx.doi.org/10.7717/peerj-cs.610</v>
      </c>
      <c r="BJ110" t="s">
        <v>28</v>
      </c>
      <c r="BK110" t="s">
        <v>28</v>
      </c>
      <c r="BL110">
        <v>24</v>
      </c>
      <c r="BM110" t="s">
        <v>3395</v>
      </c>
      <c r="BN110" t="s">
        <v>2314</v>
      </c>
      <c r="BO110" t="s">
        <v>2315</v>
      </c>
      <c r="BP110" t="s">
        <v>3396</v>
      </c>
      <c r="BQ110">
        <v>34307862</v>
      </c>
      <c r="BR110" t="s">
        <v>2566</v>
      </c>
      <c r="BS110" t="s">
        <v>28</v>
      </c>
      <c r="BT110" t="s">
        <v>28</v>
      </c>
      <c r="BU110" t="s">
        <v>2261</v>
      </c>
      <c r="BV110" t="s">
        <v>1381</v>
      </c>
      <c r="BW110" t="str">
        <f>HYPERLINK("https%3A%2F%2Fwww.webofscience.com%2Fwos%2Fwoscc%2Ffull-record%2FWOS:000669143400001","View Full Record in Web of Science")</f>
        <v>View Full Record in Web of Science</v>
      </c>
    </row>
    <row r="111" spans="1:75" ht="18.5" customHeight="1" x14ac:dyDescent="0.35">
      <c r="A111">
        <f>COUNTIF(Scopus!$E$2:$E$128,"="&amp;Tabelle6[[#This Row],[Article Title]])</f>
        <v>0</v>
      </c>
      <c r="B111">
        <v>0</v>
      </c>
      <c r="C111" t="s">
        <v>4532</v>
      </c>
      <c r="D111" t="s">
        <v>1321</v>
      </c>
      <c r="E111" t="s">
        <v>1593</v>
      </c>
      <c r="F111">
        <v>2019</v>
      </c>
      <c r="G111" s="5" t="s">
        <v>1595</v>
      </c>
      <c r="H111" t="s">
        <v>28</v>
      </c>
      <c r="I111" t="s">
        <v>28</v>
      </c>
      <c r="J111" t="s">
        <v>28</v>
      </c>
      <c r="K111" t="s">
        <v>1594</v>
      </c>
      <c r="L111" t="s">
        <v>28</v>
      </c>
      <c r="M111" t="s">
        <v>28</v>
      </c>
      <c r="N111" t="s">
        <v>1344</v>
      </c>
      <c r="O111" t="s">
        <v>28</v>
      </c>
      <c r="P111" t="s">
        <v>28</v>
      </c>
      <c r="Q111" t="s">
        <v>2242</v>
      </c>
      <c r="R111" t="s">
        <v>34</v>
      </c>
      <c r="S111" t="s">
        <v>28</v>
      </c>
      <c r="T111" t="s">
        <v>28</v>
      </c>
      <c r="U111" t="s">
        <v>28</v>
      </c>
      <c r="V111" t="s">
        <v>28</v>
      </c>
      <c r="W111" t="s">
        <v>28</v>
      </c>
      <c r="X111" t="s">
        <v>3515</v>
      </c>
      <c r="Y111" t="s">
        <v>3516</v>
      </c>
      <c r="Z111" t="s">
        <v>3517</v>
      </c>
      <c r="AA111" t="s">
        <v>3518</v>
      </c>
      <c r="AB111" t="s">
        <v>28</v>
      </c>
      <c r="AC111" t="s">
        <v>3519</v>
      </c>
      <c r="AD111" t="s">
        <v>3520</v>
      </c>
      <c r="AE111" t="s">
        <v>28</v>
      </c>
      <c r="AF111" t="s">
        <v>28</v>
      </c>
      <c r="AG111" t="s">
        <v>28</v>
      </c>
      <c r="AH111" t="s">
        <v>28</v>
      </c>
      <c r="AI111" t="s">
        <v>28</v>
      </c>
      <c r="AJ111" t="s">
        <v>28</v>
      </c>
      <c r="AK111">
        <v>52</v>
      </c>
      <c r="AL111">
        <v>7</v>
      </c>
      <c r="AM111">
        <v>7</v>
      </c>
      <c r="AN111">
        <v>3</v>
      </c>
      <c r="AO111">
        <v>27</v>
      </c>
      <c r="AP111" t="s">
        <v>2860</v>
      </c>
      <c r="AQ111" t="s">
        <v>2861</v>
      </c>
      <c r="AR111" t="s">
        <v>2862</v>
      </c>
      <c r="AS111" t="s">
        <v>1346</v>
      </c>
      <c r="AT111" t="s">
        <v>1347</v>
      </c>
      <c r="AU111" t="s">
        <v>28</v>
      </c>
      <c r="AV111" t="s">
        <v>2898</v>
      </c>
      <c r="AW111" t="s">
        <v>2899</v>
      </c>
      <c r="AX111" t="s">
        <v>1596</v>
      </c>
      <c r="AY111">
        <v>145</v>
      </c>
      <c r="AZ111">
        <v>1</v>
      </c>
      <c r="BA111" t="s">
        <v>28</v>
      </c>
      <c r="BB111" t="s">
        <v>28</v>
      </c>
      <c r="BC111" t="s">
        <v>28</v>
      </c>
      <c r="BD111" t="s">
        <v>28</v>
      </c>
      <c r="BE111" t="s">
        <v>28</v>
      </c>
      <c r="BF111" t="s">
        <v>28</v>
      </c>
      <c r="BG111">
        <v>4018086</v>
      </c>
      <c r="BH111" t="s">
        <v>1597</v>
      </c>
      <c r="BI111" t="str">
        <f>HYPERLINK("http://dx.doi.org/10.1061/(ASCE)WR.1943-5452.0001015","http://dx.doi.org/10.1061/(ASCE)WR.1943-5452.0001015")</f>
        <v>http://dx.doi.org/10.1061/(ASCE)WR.1943-5452.0001015</v>
      </c>
      <c r="BJ111" t="s">
        <v>28</v>
      </c>
      <c r="BK111" t="s">
        <v>28</v>
      </c>
      <c r="BL111">
        <v>9</v>
      </c>
      <c r="BM111" t="s">
        <v>2332</v>
      </c>
      <c r="BN111" t="s">
        <v>2258</v>
      </c>
      <c r="BO111" t="s">
        <v>2333</v>
      </c>
      <c r="BP111" t="s">
        <v>3521</v>
      </c>
      <c r="BQ111" t="s">
        <v>28</v>
      </c>
      <c r="BR111" t="s">
        <v>28</v>
      </c>
      <c r="BS111" t="s">
        <v>28</v>
      </c>
      <c r="BT111" t="s">
        <v>28</v>
      </c>
      <c r="BU111" t="s">
        <v>2261</v>
      </c>
      <c r="BV111" t="s">
        <v>1598</v>
      </c>
      <c r="BW111" t="str">
        <f>HYPERLINK("https%3A%2F%2Fwww.webofscience.com%2Fwos%2Fwoscc%2Ffull-record%2FWOS:000450405500005","View Full Record in Web of Science")</f>
        <v>View Full Record in Web of Science</v>
      </c>
    </row>
    <row r="112" spans="1:75" x14ac:dyDescent="0.35">
      <c r="A112">
        <f>COUNTIF(Scopus!$E$2:$E$128,"="&amp;Tabelle6[[#This Row],[Article Title]])</f>
        <v>1</v>
      </c>
      <c r="B112">
        <v>1</v>
      </c>
      <c r="C112" s="1" t="s">
        <v>2148</v>
      </c>
      <c r="D112" t="s">
        <v>1417</v>
      </c>
      <c r="E112" t="s">
        <v>1500</v>
      </c>
      <c r="F112">
        <v>2020</v>
      </c>
      <c r="G112" t="s">
        <v>289</v>
      </c>
      <c r="H112" t="s">
        <v>28</v>
      </c>
      <c r="I112" t="s">
        <v>28</v>
      </c>
      <c r="J112" t="s">
        <v>1419</v>
      </c>
      <c r="K112" t="s">
        <v>1501</v>
      </c>
      <c r="L112" t="s">
        <v>28</v>
      </c>
      <c r="M112" t="s">
        <v>28</v>
      </c>
      <c r="N112" t="s">
        <v>1502</v>
      </c>
      <c r="O112" t="s">
        <v>1503</v>
      </c>
      <c r="P112" t="s">
        <v>28</v>
      </c>
      <c r="Q112" t="s">
        <v>2242</v>
      </c>
      <c r="R112" t="s">
        <v>2345</v>
      </c>
      <c r="S112" t="s">
        <v>1504</v>
      </c>
      <c r="T112" t="s">
        <v>1505</v>
      </c>
      <c r="U112" t="s">
        <v>1506</v>
      </c>
      <c r="V112" t="s">
        <v>2885</v>
      </c>
      <c r="W112" t="s">
        <v>28</v>
      </c>
      <c r="X112" t="s">
        <v>28</v>
      </c>
      <c r="Y112" t="s">
        <v>28</v>
      </c>
      <c r="Z112" t="s">
        <v>2886</v>
      </c>
      <c r="AA112" t="s">
        <v>28</v>
      </c>
      <c r="AB112" t="s">
        <v>28</v>
      </c>
      <c r="AC112" t="s">
        <v>28</v>
      </c>
      <c r="AD112" t="s">
        <v>28</v>
      </c>
      <c r="AE112" t="s">
        <v>2887</v>
      </c>
      <c r="AF112" t="s">
        <v>2888</v>
      </c>
      <c r="AG112" t="s">
        <v>28</v>
      </c>
      <c r="AH112" t="s">
        <v>28</v>
      </c>
      <c r="AI112" t="s">
        <v>28</v>
      </c>
      <c r="AJ112" t="s">
        <v>28</v>
      </c>
      <c r="AK112">
        <v>12</v>
      </c>
      <c r="AL112">
        <v>0</v>
      </c>
      <c r="AM112">
        <v>0</v>
      </c>
      <c r="AN112">
        <v>1</v>
      </c>
      <c r="AO112">
        <v>2</v>
      </c>
      <c r="AP112" t="s">
        <v>1419</v>
      </c>
      <c r="AQ112" t="s">
        <v>2354</v>
      </c>
      <c r="AR112" t="s">
        <v>2691</v>
      </c>
      <c r="AS112" t="s">
        <v>1507</v>
      </c>
      <c r="AT112" t="s">
        <v>28</v>
      </c>
      <c r="AU112" t="s">
        <v>1508</v>
      </c>
      <c r="AV112" t="s">
        <v>2889</v>
      </c>
      <c r="AW112" t="s">
        <v>28</v>
      </c>
      <c r="AX112" t="s">
        <v>28</v>
      </c>
      <c r="AY112" t="s">
        <v>28</v>
      </c>
      <c r="AZ112" t="s">
        <v>28</v>
      </c>
      <c r="BA112" t="s">
        <v>28</v>
      </c>
      <c r="BB112" t="s">
        <v>28</v>
      </c>
      <c r="BC112" t="s">
        <v>28</v>
      </c>
      <c r="BD112" t="s">
        <v>28</v>
      </c>
      <c r="BE112">
        <v>891</v>
      </c>
      <c r="BF112">
        <v>896</v>
      </c>
      <c r="BG112" t="s">
        <v>28</v>
      </c>
      <c r="BH112" t="s">
        <v>28</v>
      </c>
      <c r="BI112" t="s">
        <v>28</v>
      </c>
      <c r="BJ112" t="s">
        <v>28</v>
      </c>
      <c r="BK112" t="s">
        <v>28</v>
      </c>
      <c r="BL112">
        <v>6</v>
      </c>
      <c r="BM112" t="s">
        <v>2890</v>
      </c>
      <c r="BN112" t="s">
        <v>2357</v>
      </c>
      <c r="BO112" t="s">
        <v>2832</v>
      </c>
      <c r="BP112" t="s">
        <v>2891</v>
      </c>
      <c r="BQ112" t="s">
        <v>28</v>
      </c>
      <c r="BR112" t="s">
        <v>2467</v>
      </c>
      <c r="BS112" t="s">
        <v>28</v>
      </c>
      <c r="BT112" t="s">
        <v>28</v>
      </c>
      <c r="BU112" t="s">
        <v>2261</v>
      </c>
      <c r="BV112" t="s">
        <v>1509</v>
      </c>
      <c r="BW112" t="str">
        <f>HYPERLINK("https%3A%2F%2Fwww.webofscience.com%2Fwos%2Fwoscc%2Ffull-record%2FWOS:000565648500156","View Full Record in Web of Science")</f>
        <v>View Full Record in Web of Science</v>
      </c>
    </row>
    <row r="113" spans="1:75" x14ac:dyDescent="0.35">
      <c r="A113">
        <f>COUNTIF(Scopus!$E$2:$E$128,"="&amp;Tabelle6[[#This Row],[Article Title]])</f>
        <v>1</v>
      </c>
      <c r="B113">
        <v>1</v>
      </c>
      <c r="C113" s="1" t="s">
        <v>2148</v>
      </c>
      <c r="D113" t="s">
        <v>1321</v>
      </c>
      <c r="E113" t="s">
        <v>1703</v>
      </c>
      <c r="F113">
        <v>2017</v>
      </c>
      <c r="G113" t="s">
        <v>591</v>
      </c>
      <c r="H113" t="s">
        <v>28</v>
      </c>
      <c r="I113" t="s">
        <v>28</v>
      </c>
      <c r="J113" t="s">
        <v>28</v>
      </c>
      <c r="K113" t="s">
        <v>1704</v>
      </c>
      <c r="L113" t="s">
        <v>28</v>
      </c>
      <c r="M113" t="s">
        <v>28</v>
      </c>
      <c r="N113" t="s">
        <v>1361</v>
      </c>
      <c r="O113" t="s">
        <v>28</v>
      </c>
      <c r="P113" t="s">
        <v>28</v>
      </c>
      <c r="Q113" t="s">
        <v>2242</v>
      </c>
      <c r="R113" t="s">
        <v>34</v>
      </c>
      <c r="S113" t="s">
        <v>28</v>
      </c>
      <c r="T113" t="s">
        <v>28</v>
      </c>
      <c r="U113" t="s">
        <v>28</v>
      </c>
      <c r="V113" t="s">
        <v>28</v>
      </c>
      <c r="W113" t="s">
        <v>28</v>
      </c>
      <c r="X113" t="s">
        <v>3216</v>
      </c>
      <c r="Y113" t="s">
        <v>3217</v>
      </c>
      <c r="Z113" t="s">
        <v>3218</v>
      </c>
      <c r="AA113" t="s">
        <v>3219</v>
      </c>
      <c r="AB113" t="s">
        <v>28</v>
      </c>
      <c r="AC113" t="s">
        <v>3220</v>
      </c>
      <c r="AD113" t="s">
        <v>3221</v>
      </c>
      <c r="AE113" t="s">
        <v>1705</v>
      </c>
      <c r="AF113" t="s">
        <v>1706</v>
      </c>
      <c r="AG113" t="s">
        <v>3222</v>
      </c>
      <c r="AH113" t="s">
        <v>3223</v>
      </c>
      <c r="AI113" t="s">
        <v>3224</v>
      </c>
      <c r="AJ113" t="s">
        <v>28</v>
      </c>
      <c r="AK113">
        <v>56</v>
      </c>
      <c r="AL113">
        <v>10</v>
      </c>
      <c r="AM113">
        <v>10</v>
      </c>
      <c r="AN113">
        <v>1</v>
      </c>
      <c r="AO113">
        <v>53</v>
      </c>
      <c r="AP113" t="s">
        <v>2252</v>
      </c>
      <c r="AQ113" t="s">
        <v>2253</v>
      </c>
      <c r="AR113" t="s">
        <v>2254</v>
      </c>
      <c r="AS113" t="s">
        <v>1362</v>
      </c>
      <c r="AT113" t="s">
        <v>1363</v>
      </c>
      <c r="AU113" t="s">
        <v>28</v>
      </c>
      <c r="AV113" t="s">
        <v>2879</v>
      </c>
      <c r="AW113" t="s">
        <v>2880</v>
      </c>
      <c r="AX113" t="s">
        <v>1707</v>
      </c>
      <c r="AY113">
        <v>145</v>
      </c>
      <c r="AZ113" t="s">
        <v>28</v>
      </c>
      <c r="BA113" t="s">
        <v>28</v>
      </c>
      <c r="BB113" t="s">
        <v>28</v>
      </c>
      <c r="BC113" t="s">
        <v>28</v>
      </c>
      <c r="BD113" t="s">
        <v>28</v>
      </c>
      <c r="BE113">
        <v>1</v>
      </c>
      <c r="BF113">
        <v>13</v>
      </c>
      <c r="BG113" t="s">
        <v>28</v>
      </c>
      <c r="BH113" t="s">
        <v>593</v>
      </c>
      <c r="BI113" t="str">
        <f>HYPERLINK("http://dx.doi.org/10.1016/j.jclepro.2017.01.016","http://dx.doi.org/10.1016/j.jclepro.2017.01.016")</f>
        <v>http://dx.doi.org/10.1016/j.jclepro.2017.01.016</v>
      </c>
      <c r="BJ113" t="s">
        <v>28</v>
      </c>
      <c r="BK113" t="s">
        <v>28</v>
      </c>
      <c r="BL113">
        <v>13</v>
      </c>
      <c r="BM113" t="s">
        <v>2882</v>
      </c>
      <c r="BN113" t="s">
        <v>2258</v>
      </c>
      <c r="BO113" t="s">
        <v>2883</v>
      </c>
      <c r="BP113" t="s">
        <v>3225</v>
      </c>
      <c r="BQ113" t="s">
        <v>28</v>
      </c>
      <c r="BR113" t="s">
        <v>3226</v>
      </c>
      <c r="BS113" t="s">
        <v>28</v>
      </c>
      <c r="BT113" t="s">
        <v>28</v>
      </c>
      <c r="BU113" t="s">
        <v>2261</v>
      </c>
      <c r="BV113" t="s">
        <v>1708</v>
      </c>
      <c r="BW113" t="str">
        <f>HYPERLINK("https%3A%2F%2Fwww.webofscience.com%2Fwos%2Fwoscc%2Ffull-record%2FWOS:000394062300001","View Full Record in Web of Science")</f>
        <v>View Full Record in Web of Science</v>
      </c>
    </row>
    <row r="114" spans="1:75" ht="17" customHeight="1" x14ac:dyDescent="0.35">
      <c r="A114">
        <f>COUNTIF(Scopus!$E$2:$E$128,"="&amp;Tabelle6[[#This Row],[Article Title]])</f>
        <v>0</v>
      </c>
      <c r="B114">
        <v>6</v>
      </c>
      <c r="C114" s="1" t="s">
        <v>4538</v>
      </c>
      <c r="D114" t="s">
        <v>2108</v>
      </c>
      <c r="E114" t="s">
        <v>3819</v>
      </c>
      <c r="F114">
        <v>2010</v>
      </c>
      <c r="G114" s="5" t="s">
        <v>3822</v>
      </c>
      <c r="H114" t="s">
        <v>3820</v>
      </c>
      <c r="I114" t="s">
        <v>28</v>
      </c>
      <c r="J114" t="s">
        <v>28</v>
      </c>
      <c r="K114" t="s">
        <v>3821</v>
      </c>
      <c r="L114" t="s">
        <v>3820</v>
      </c>
      <c r="M114" t="s">
        <v>28</v>
      </c>
      <c r="N114" t="s">
        <v>3823</v>
      </c>
      <c r="O114" t="s">
        <v>3824</v>
      </c>
      <c r="P114" t="s">
        <v>28</v>
      </c>
      <c r="Q114" t="s">
        <v>2242</v>
      </c>
      <c r="R114" t="s">
        <v>3825</v>
      </c>
      <c r="S114" t="s">
        <v>28</v>
      </c>
      <c r="T114" t="s">
        <v>28</v>
      </c>
      <c r="U114" t="s">
        <v>28</v>
      </c>
      <c r="V114" t="s">
        <v>28</v>
      </c>
      <c r="W114" t="s">
        <v>28</v>
      </c>
      <c r="X114" t="s">
        <v>28</v>
      </c>
      <c r="Y114" t="s">
        <v>28</v>
      </c>
      <c r="Z114" t="s">
        <v>3826</v>
      </c>
      <c r="AA114" t="s">
        <v>3827</v>
      </c>
      <c r="AB114" t="s">
        <v>28</v>
      </c>
      <c r="AC114" t="s">
        <v>3828</v>
      </c>
      <c r="AD114" t="s">
        <v>3829</v>
      </c>
      <c r="AE114" t="s">
        <v>28</v>
      </c>
      <c r="AF114" t="s">
        <v>28</v>
      </c>
      <c r="AG114" t="s">
        <v>28</v>
      </c>
      <c r="AH114" t="s">
        <v>28</v>
      </c>
      <c r="AI114" t="s">
        <v>28</v>
      </c>
      <c r="AJ114" t="s">
        <v>28</v>
      </c>
      <c r="AK114">
        <v>0</v>
      </c>
      <c r="AL114">
        <v>2</v>
      </c>
      <c r="AM114">
        <v>2</v>
      </c>
      <c r="AN114">
        <v>0</v>
      </c>
      <c r="AO114">
        <v>2</v>
      </c>
      <c r="AP114" t="s">
        <v>2327</v>
      </c>
      <c r="AQ114" t="s">
        <v>2354</v>
      </c>
      <c r="AR114" t="s">
        <v>3830</v>
      </c>
      <c r="AS114" t="s">
        <v>3831</v>
      </c>
      <c r="AT114" t="s">
        <v>28</v>
      </c>
      <c r="AU114" t="s">
        <v>3832</v>
      </c>
      <c r="AV114" t="s">
        <v>3833</v>
      </c>
      <c r="AW114" t="s">
        <v>28</v>
      </c>
      <c r="AX114" t="s">
        <v>28</v>
      </c>
      <c r="AY114" t="s">
        <v>28</v>
      </c>
      <c r="AZ114" t="s">
        <v>28</v>
      </c>
      <c r="BA114" t="s">
        <v>28</v>
      </c>
      <c r="BB114" t="s">
        <v>28</v>
      </c>
      <c r="BC114" t="s">
        <v>28</v>
      </c>
      <c r="BD114" t="s">
        <v>28</v>
      </c>
      <c r="BE114">
        <v>115</v>
      </c>
      <c r="BF114">
        <v>135</v>
      </c>
      <c r="BG114" t="s">
        <v>28</v>
      </c>
      <c r="BH114" t="s">
        <v>3834</v>
      </c>
      <c r="BI114" t="str">
        <f>HYPERLINK("http://dx.doi.org/10.1007/978-3-7908-2407-0_6","http://dx.doi.org/10.1007/978-3-7908-2407-0_6")</f>
        <v>http://dx.doi.org/10.1007/978-3-7908-2407-0_6</v>
      </c>
      <c r="BJ114" t="s">
        <v>3835</v>
      </c>
      <c r="BK114" t="s">
        <v>28</v>
      </c>
      <c r="BL114">
        <v>21</v>
      </c>
      <c r="BM114" t="s">
        <v>3836</v>
      </c>
      <c r="BN114" t="s">
        <v>3837</v>
      </c>
      <c r="BO114" t="s">
        <v>3565</v>
      </c>
      <c r="BP114" t="s">
        <v>3838</v>
      </c>
      <c r="BQ114" t="s">
        <v>28</v>
      </c>
      <c r="BR114" t="s">
        <v>28</v>
      </c>
      <c r="BS114" t="s">
        <v>28</v>
      </c>
      <c r="BT114" t="s">
        <v>28</v>
      </c>
      <c r="BU114" t="s">
        <v>2261</v>
      </c>
      <c r="BV114" t="s">
        <v>3839</v>
      </c>
      <c r="BW114" t="str">
        <f>HYPERLINK("https%3A%2F%2Fwww.webofscience.com%2Fwos%2Fwoscc%2Ffull-record%2FWOS:000275823100006","View Full Record in Web of Science")</f>
        <v>View Full Record in Web of Science</v>
      </c>
    </row>
    <row r="115" spans="1:75" x14ac:dyDescent="0.35">
      <c r="A115">
        <f>COUNTIF(Scopus!$E$2:$E$128,"="&amp;Tabelle6[[#This Row],[Article Title]])</f>
        <v>1</v>
      </c>
      <c r="B115">
        <v>1</v>
      </c>
      <c r="C115" s="1" t="s">
        <v>2148</v>
      </c>
      <c r="D115" t="s">
        <v>1321</v>
      </c>
      <c r="E115" t="s">
        <v>1851</v>
      </c>
      <c r="F115">
        <v>2014</v>
      </c>
      <c r="G115" t="s">
        <v>1853</v>
      </c>
      <c r="H115" t="s">
        <v>28</v>
      </c>
      <c r="I115" t="s">
        <v>28</v>
      </c>
      <c r="J115" t="s">
        <v>28</v>
      </c>
      <c r="K115" t="s">
        <v>1852</v>
      </c>
      <c r="L115" t="s">
        <v>28</v>
      </c>
      <c r="M115" t="s">
        <v>28</v>
      </c>
      <c r="N115" t="s">
        <v>1854</v>
      </c>
      <c r="O115" t="s">
        <v>28</v>
      </c>
      <c r="P115" t="s">
        <v>28</v>
      </c>
      <c r="Q115" t="s">
        <v>2242</v>
      </c>
      <c r="R115" t="s">
        <v>34</v>
      </c>
      <c r="S115" t="s">
        <v>28</v>
      </c>
      <c r="T115" t="s">
        <v>28</v>
      </c>
      <c r="U115" t="s">
        <v>28</v>
      </c>
      <c r="V115" t="s">
        <v>28</v>
      </c>
      <c r="W115" t="s">
        <v>28</v>
      </c>
      <c r="X115" t="s">
        <v>2809</v>
      </c>
      <c r="Y115" t="s">
        <v>28</v>
      </c>
      <c r="Z115" t="s">
        <v>2810</v>
      </c>
      <c r="AA115" t="s">
        <v>2811</v>
      </c>
      <c r="AB115" t="s">
        <v>28</v>
      </c>
      <c r="AC115" t="s">
        <v>2812</v>
      </c>
      <c r="AD115" t="s">
        <v>2813</v>
      </c>
      <c r="AE115" t="s">
        <v>28</v>
      </c>
      <c r="AF115" t="s">
        <v>2814</v>
      </c>
      <c r="AG115" t="s">
        <v>2815</v>
      </c>
      <c r="AH115" t="s">
        <v>2816</v>
      </c>
      <c r="AI115" t="s">
        <v>2817</v>
      </c>
      <c r="AJ115" t="s">
        <v>28</v>
      </c>
      <c r="AK115">
        <v>23</v>
      </c>
      <c r="AL115">
        <v>10</v>
      </c>
      <c r="AM115">
        <v>10</v>
      </c>
      <c r="AN115">
        <v>0</v>
      </c>
      <c r="AO115">
        <v>17</v>
      </c>
      <c r="AP115" t="s">
        <v>2818</v>
      </c>
      <c r="AQ115" t="s">
        <v>2309</v>
      </c>
      <c r="AR115" t="s">
        <v>2819</v>
      </c>
      <c r="AS115" t="s">
        <v>1855</v>
      </c>
      <c r="AT115" t="s">
        <v>1856</v>
      </c>
      <c r="AU115" t="s">
        <v>28</v>
      </c>
      <c r="AV115" t="s">
        <v>1854</v>
      </c>
      <c r="AW115" t="s">
        <v>855</v>
      </c>
      <c r="AX115" t="s">
        <v>1857</v>
      </c>
      <c r="AY115">
        <v>19</v>
      </c>
      <c r="AZ115">
        <v>6</v>
      </c>
      <c r="BA115" t="s">
        <v>28</v>
      </c>
      <c r="BB115" t="s">
        <v>28</v>
      </c>
      <c r="BC115" t="s">
        <v>1639</v>
      </c>
      <c r="BD115" t="s">
        <v>28</v>
      </c>
      <c r="BE115">
        <v>30</v>
      </c>
      <c r="BF115">
        <v>43</v>
      </c>
      <c r="BG115" t="s">
        <v>28</v>
      </c>
      <c r="BH115" t="s">
        <v>858</v>
      </c>
      <c r="BI115" t="str">
        <f>HYPERLINK("http://dx.doi.org/10.1002/cplx.21521","http://dx.doi.org/10.1002/cplx.21521")</f>
        <v>http://dx.doi.org/10.1002/cplx.21521</v>
      </c>
      <c r="BJ115" t="s">
        <v>28</v>
      </c>
      <c r="BK115" t="s">
        <v>28</v>
      </c>
      <c r="BL115">
        <v>14</v>
      </c>
      <c r="BM115" t="s">
        <v>2820</v>
      </c>
      <c r="BN115" t="s">
        <v>2314</v>
      </c>
      <c r="BO115" t="s">
        <v>2821</v>
      </c>
      <c r="BP115" t="s">
        <v>2822</v>
      </c>
      <c r="BQ115" t="s">
        <v>28</v>
      </c>
      <c r="BR115" t="s">
        <v>28</v>
      </c>
      <c r="BS115" t="s">
        <v>28</v>
      </c>
      <c r="BT115" t="s">
        <v>28</v>
      </c>
      <c r="BU115" t="s">
        <v>2261</v>
      </c>
      <c r="BV115" t="s">
        <v>1858</v>
      </c>
      <c r="BW115" t="str">
        <f>HYPERLINK("https%3A%2F%2Fwww.webofscience.com%2Fwos%2Fwoscc%2Ffull-record%2FWOS:000339548700004","View Full Record in Web of Science")</f>
        <v>View Full Record in Web of Science</v>
      </c>
    </row>
    <row r="116" spans="1:75" x14ac:dyDescent="0.35">
      <c r="A116">
        <f>COUNTIF(Scopus!$E$2:$E$128,"="&amp;Tabelle6[[#This Row],[Article Title]])</f>
        <v>0</v>
      </c>
      <c r="B116">
        <v>3</v>
      </c>
      <c r="C116" s="1" t="s">
        <v>2149</v>
      </c>
      <c r="D116" t="s">
        <v>1417</v>
      </c>
      <c r="E116" t="s">
        <v>1892</v>
      </c>
      <c r="F116">
        <v>2014</v>
      </c>
      <c r="G116" t="s">
        <v>1895</v>
      </c>
      <c r="H116" t="s">
        <v>28</v>
      </c>
      <c r="I116" t="s">
        <v>1893</v>
      </c>
      <c r="J116" t="s">
        <v>28</v>
      </c>
      <c r="K116" t="s">
        <v>1894</v>
      </c>
      <c r="L116" t="s">
        <v>28</v>
      </c>
      <c r="M116" t="s">
        <v>28</v>
      </c>
      <c r="N116" t="s">
        <v>1896</v>
      </c>
      <c r="O116" t="s">
        <v>1897</v>
      </c>
      <c r="P116" t="s">
        <v>28</v>
      </c>
      <c r="Q116" t="s">
        <v>2242</v>
      </c>
      <c r="R116" t="s">
        <v>2345</v>
      </c>
      <c r="S116" t="s">
        <v>1898</v>
      </c>
      <c r="T116" t="s">
        <v>1899</v>
      </c>
      <c r="U116" t="s">
        <v>1900</v>
      </c>
      <c r="V116" t="s">
        <v>3958</v>
      </c>
      <c r="W116" t="s">
        <v>1901</v>
      </c>
      <c r="X116" t="s">
        <v>3959</v>
      </c>
      <c r="Y116" t="s">
        <v>28</v>
      </c>
      <c r="Z116" t="s">
        <v>3960</v>
      </c>
      <c r="AA116" t="s">
        <v>3961</v>
      </c>
      <c r="AB116" t="s">
        <v>28</v>
      </c>
      <c r="AC116" t="s">
        <v>3962</v>
      </c>
      <c r="AD116" t="s">
        <v>3963</v>
      </c>
      <c r="AE116" t="s">
        <v>28</v>
      </c>
      <c r="AF116" t="s">
        <v>28</v>
      </c>
      <c r="AG116" t="s">
        <v>28</v>
      </c>
      <c r="AH116" t="s">
        <v>28</v>
      </c>
      <c r="AI116" t="s">
        <v>28</v>
      </c>
      <c r="AJ116" t="s">
        <v>28</v>
      </c>
      <c r="AK116">
        <v>8</v>
      </c>
      <c r="AL116">
        <v>0</v>
      </c>
      <c r="AM116">
        <v>0</v>
      </c>
      <c r="AN116">
        <v>0</v>
      </c>
      <c r="AO116">
        <v>4</v>
      </c>
      <c r="AP116" t="s">
        <v>1419</v>
      </c>
      <c r="AQ116" t="s">
        <v>2354</v>
      </c>
      <c r="AR116" t="s">
        <v>2691</v>
      </c>
      <c r="AS116" t="s">
        <v>1902</v>
      </c>
      <c r="AT116" t="s">
        <v>28</v>
      </c>
      <c r="AU116" t="s">
        <v>1903</v>
      </c>
      <c r="AV116" t="s">
        <v>3964</v>
      </c>
      <c r="AW116" t="s">
        <v>28</v>
      </c>
      <c r="AX116" t="s">
        <v>28</v>
      </c>
      <c r="AY116" t="s">
        <v>28</v>
      </c>
      <c r="AZ116" t="s">
        <v>28</v>
      </c>
      <c r="BA116" t="s">
        <v>28</v>
      </c>
      <c r="BB116" t="s">
        <v>28</v>
      </c>
      <c r="BC116" t="s">
        <v>28</v>
      </c>
      <c r="BD116" t="s">
        <v>28</v>
      </c>
      <c r="BE116" t="s">
        <v>28</v>
      </c>
      <c r="BF116" t="s">
        <v>28</v>
      </c>
      <c r="BG116" t="s">
        <v>28</v>
      </c>
      <c r="BH116" t="s">
        <v>28</v>
      </c>
      <c r="BI116" t="s">
        <v>28</v>
      </c>
      <c r="BJ116" t="s">
        <v>28</v>
      </c>
      <c r="BK116" t="s">
        <v>28</v>
      </c>
      <c r="BL116">
        <v>7</v>
      </c>
      <c r="BM116" t="s">
        <v>3965</v>
      </c>
      <c r="BN116" t="s">
        <v>2357</v>
      </c>
      <c r="BO116" t="s">
        <v>3966</v>
      </c>
      <c r="BP116" t="s">
        <v>3967</v>
      </c>
      <c r="BQ116" t="s">
        <v>28</v>
      </c>
      <c r="BR116" t="s">
        <v>28</v>
      </c>
      <c r="BS116" t="s">
        <v>28</v>
      </c>
      <c r="BT116" t="s">
        <v>28</v>
      </c>
      <c r="BU116" t="s">
        <v>2261</v>
      </c>
      <c r="BV116" t="s">
        <v>1904</v>
      </c>
      <c r="BW116" t="str">
        <f>HYPERLINK("https%3A%2F%2Fwww.webofscience.com%2Fwos%2Fwoscc%2Ffull-record%2FWOS:000358415900001","View Full Record in Web of Science")</f>
        <v>View Full Record in Web of Science</v>
      </c>
    </row>
    <row r="117" spans="1:75" x14ac:dyDescent="0.35">
      <c r="A117">
        <f>COUNTIF(Scopus!$E$2:$E$128,"="&amp;Tabelle6[[#This Row],[Article Title]])</f>
        <v>0</v>
      </c>
      <c r="B117">
        <v>4</v>
      </c>
      <c r="C117" s="1" t="s">
        <v>4535</v>
      </c>
      <c r="D117" t="s">
        <v>1321</v>
      </c>
      <c r="E117" t="s">
        <v>1641</v>
      </c>
      <c r="F117">
        <v>2018</v>
      </c>
      <c r="G117" t="s">
        <v>1643</v>
      </c>
      <c r="H117" t="s">
        <v>28</v>
      </c>
      <c r="I117" t="s">
        <v>28</v>
      </c>
      <c r="J117" t="s">
        <v>28</v>
      </c>
      <c r="K117" t="s">
        <v>1642</v>
      </c>
      <c r="L117" t="s">
        <v>28</v>
      </c>
      <c r="M117" t="s">
        <v>28</v>
      </c>
      <c r="N117" t="s">
        <v>1469</v>
      </c>
      <c r="O117" t="s">
        <v>28</v>
      </c>
      <c r="P117" t="s">
        <v>28</v>
      </c>
      <c r="Q117" t="s">
        <v>2242</v>
      </c>
      <c r="R117" t="s">
        <v>34</v>
      </c>
      <c r="S117" t="s">
        <v>28</v>
      </c>
      <c r="T117" t="s">
        <v>28</v>
      </c>
      <c r="U117" t="s">
        <v>28</v>
      </c>
      <c r="V117" t="s">
        <v>28</v>
      </c>
      <c r="W117" t="s">
        <v>28</v>
      </c>
      <c r="X117" t="s">
        <v>2907</v>
      </c>
      <c r="Y117" t="s">
        <v>2908</v>
      </c>
      <c r="Z117" t="s">
        <v>2909</v>
      </c>
      <c r="AA117" t="s">
        <v>2910</v>
      </c>
      <c r="AB117" t="s">
        <v>28</v>
      </c>
      <c r="AC117" t="s">
        <v>2911</v>
      </c>
      <c r="AD117" t="s">
        <v>2912</v>
      </c>
      <c r="AE117" t="s">
        <v>2913</v>
      </c>
      <c r="AF117" t="s">
        <v>28</v>
      </c>
      <c r="AG117" t="s">
        <v>2914</v>
      </c>
      <c r="AH117" t="s">
        <v>2915</v>
      </c>
      <c r="AI117" t="s">
        <v>2916</v>
      </c>
      <c r="AJ117" t="s">
        <v>28</v>
      </c>
      <c r="AK117">
        <v>59</v>
      </c>
      <c r="AL117">
        <v>13</v>
      </c>
      <c r="AM117">
        <v>14</v>
      </c>
      <c r="AN117">
        <v>9</v>
      </c>
      <c r="AO117">
        <v>98</v>
      </c>
      <c r="AP117" t="s">
        <v>2917</v>
      </c>
      <c r="AQ117" t="s">
        <v>2294</v>
      </c>
      <c r="AR117" t="s">
        <v>2918</v>
      </c>
      <c r="AS117" t="s">
        <v>1470</v>
      </c>
      <c r="AT117" t="s">
        <v>1471</v>
      </c>
      <c r="AU117" t="s">
        <v>28</v>
      </c>
      <c r="AV117" t="s">
        <v>2433</v>
      </c>
      <c r="AW117" t="s">
        <v>2434</v>
      </c>
      <c r="AX117" t="s">
        <v>1472</v>
      </c>
      <c r="AY117">
        <v>618</v>
      </c>
      <c r="AZ117" t="s">
        <v>28</v>
      </c>
      <c r="BA117" t="s">
        <v>28</v>
      </c>
      <c r="BB117" t="s">
        <v>28</v>
      </c>
      <c r="BC117" t="s">
        <v>28</v>
      </c>
      <c r="BD117" t="s">
        <v>28</v>
      </c>
      <c r="BE117">
        <v>1160</v>
      </c>
      <c r="BF117">
        <v>1172</v>
      </c>
      <c r="BG117" t="s">
        <v>28</v>
      </c>
      <c r="BH117" t="s">
        <v>1644</v>
      </c>
      <c r="BI117" t="str">
        <f>HYPERLINK("http://dx.doi.org/10.1016/j.scitotenv.2017.09.184","http://dx.doi.org/10.1016/j.scitotenv.2017.09.184")</f>
        <v>http://dx.doi.org/10.1016/j.scitotenv.2017.09.184</v>
      </c>
      <c r="BJ117" t="s">
        <v>28</v>
      </c>
      <c r="BK117" t="s">
        <v>28</v>
      </c>
      <c r="BL117">
        <v>13</v>
      </c>
      <c r="BM117" t="s">
        <v>2435</v>
      </c>
      <c r="BN117" t="s">
        <v>2258</v>
      </c>
      <c r="BO117" t="s">
        <v>2436</v>
      </c>
      <c r="BP117" t="s">
        <v>2919</v>
      </c>
      <c r="BQ117">
        <v>29050830</v>
      </c>
      <c r="BR117" t="s">
        <v>28</v>
      </c>
      <c r="BS117" t="s">
        <v>28</v>
      </c>
      <c r="BT117" t="s">
        <v>28</v>
      </c>
      <c r="BU117" t="s">
        <v>2261</v>
      </c>
      <c r="BV117" t="s">
        <v>1645</v>
      </c>
      <c r="BW117" t="str">
        <f>HYPERLINK("https%3A%2F%2Fwww.webofscience.com%2Fwos%2Fwoscc%2Ffull-record%2FWOS:000424130500120","View Full Record in Web of Science")</f>
        <v>View Full Record in Web of Science</v>
      </c>
    </row>
    <row r="118" spans="1:75" x14ac:dyDescent="0.35">
      <c r="A118">
        <f>COUNTIF(Scopus!$E$2:$E$128,"="&amp;Tabelle6[[#This Row],[Article Title]])</f>
        <v>1</v>
      </c>
      <c r="B118">
        <v>1</v>
      </c>
      <c r="C118" s="1" t="s">
        <v>2148</v>
      </c>
      <c r="D118" t="s">
        <v>1321</v>
      </c>
      <c r="E118" t="s">
        <v>1413</v>
      </c>
      <c r="F118">
        <v>2021</v>
      </c>
      <c r="G118" t="s">
        <v>146</v>
      </c>
      <c r="H118" t="s">
        <v>28</v>
      </c>
      <c r="I118" t="s">
        <v>28</v>
      </c>
      <c r="J118" t="s">
        <v>28</v>
      </c>
      <c r="K118" t="s">
        <v>1414</v>
      </c>
      <c r="L118" t="s">
        <v>28</v>
      </c>
      <c r="M118" t="s">
        <v>28</v>
      </c>
      <c r="N118" t="s">
        <v>1385</v>
      </c>
      <c r="O118" t="s">
        <v>28</v>
      </c>
      <c r="P118" t="s">
        <v>28</v>
      </c>
      <c r="Q118" t="s">
        <v>2242</v>
      </c>
      <c r="R118" t="s">
        <v>34</v>
      </c>
      <c r="S118" t="s">
        <v>28</v>
      </c>
      <c r="T118" t="s">
        <v>28</v>
      </c>
      <c r="U118" t="s">
        <v>28</v>
      </c>
      <c r="V118" t="s">
        <v>28</v>
      </c>
      <c r="W118" t="s">
        <v>28</v>
      </c>
      <c r="X118" t="s">
        <v>2282</v>
      </c>
      <c r="Y118" t="s">
        <v>2283</v>
      </c>
      <c r="Z118" t="s">
        <v>2284</v>
      </c>
      <c r="AA118" t="s">
        <v>2285</v>
      </c>
      <c r="AB118" t="s">
        <v>28</v>
      </c>
      <c r="AC118" t="s">
        <v>2286</v>
      </c>
      <c r="AD118" t="s">
        <v>2287</v>
      </c>
      <c r="AE118" t="s">
        <v>2288</v>
      </c>
      <c r="AF118" t="s">
        <v>2289</v>
      </c>
      <c r="AG118" t="s">
        <v>2290</v>
      </c>
      <c r="AH118" t="s">
        <v>2291</v>
      </c>
      <c r="AI118" t="s">
        <v>2292</v>
      </c>
      <c r="AJ118" t="s">
        <v>28</v>
      </c>
      <c r="AK118">
        <v>61</v>
      </c>
      <c r="AL118">
        <v>3</v>
      </c>
      <c r="AM118">
        <v>3</v>
      </c>
      <c r="AN118">
        <v>3</v>
      </c>
      <c r="AO118">
        <v>7</v>
      </c>
      <c r="AP118" t="s">
        <v>2293</v>
      </c>
      <c r="AQ118" t="s">
        <v>2294</v>
      </c>
      <c r="AR118" t="s">
        <v>2295</v>
      </c>
      <c r="AS118" t="s">
        <v>1386</v>
      </c>
      <c r="AT118" t="s">
        <v>1387</v>
      </c>
      <c r="AU118" t="s">
        <v>28</v>
      </c>
      <c r="AV118" t="s">
        <v>2296</v>
      </c>
      <c r="AW118" t="s">
        <v>2297</v>
      </c>
      <c r="AX118" t="s">
        <v>1415</v>
      </c>
      <c r="AY118">
        <v>169</v>
      </c>
      <c r="AZ118" t="s">
        <v>28</v>
      </c>
      <c r="BA118" t="s">
        <v>28</v>
      </c>
      <c r="BB118" t="s">
        <v>28</v>
      </c>
      <c r="BC118" t="s">
        <v>28</v>
      </c>
      <c r="BD118" t="s">
        <v>28</v>
      </c>
      <c r="BE118" t="s">
        <v>28</v>
      </c>
      <c r="BF118" t="s">
        <v>28</v>
      </c>
      <c r="BG118">
        <v>105520</v>
      </c>
      <c r="BH118" t="s">
        <v>149</v>
      </c>
      <c r="BI118" t="str">
        <f>HYPERLINK("http://dx.doi.org/10.1016/j.resconrec.2021.105520","http://dx.doi.org/10.1016/j.resconrec.2021.105520")</f>
        <v>http://dx.doi.org/10.1016/j.resconrec.2021.105520</v>
      </c>
      <c r="BJ118" t="s">
        <v>28</v>
      </c>
      <c r="BK118" t="s">
        <v>2298</v>
      </c>
      <c r="BL118">
        <v>10</v>
      </c>
      <c r="BM118" t="s">
        <v>2299</v>
      </c>
      <c r="BN118" t="s">
        <v>2258</v>
      </c>
      <c r="BO118" t="s">
        <v>2300</v>
      </c>
      <c r="BP118" t="s">
        <v>2301</v>
      </c>
      <c r="BQ118" t="s">
        <v>28</v>
      </c>
      <c r="BR118" t="s">
        <v>28</v>
      </c>
      <c r="BS118" t="s">
        <v>28</v>
      </c>
      <c r="BT118" t="s">
        <v>28</v>
      </c>
      <c r="BU118" t="s">
        <v>2261</v>
      </c>
      <c r="BV118" t="s">
        <v>1416</v>
      </c>
      <c r="BW118" t="str">
        <f>HYPERLINK("https%3A%2F%2Fwww.webofscience.com%2Fwos%2Fwoscc%2Ffull-record%2FWOS:000657320800049","View Full Record in Web of Science")</f>
        <v>View Full Record in Web of Science</v>
      </c>
    </row>
    <row r="119" spans="1:75" ht="17" customHeight="1" x14ac:dyDescent="0.35">
      <c r="A119">
        <f>COUNTIF(Scopus!$E$2:$E$128,"="&amp;Tabelle6[[#This Row],[Article Title]])</f>
        <v>0</v>
      </c>
      <c r="B119">
        <v>3</v>
      </c>
      <c r="C119" s="1" t="s">
        <v>2149</v>
      </c>
      <c r="D119" t="s">
        <v>1321</v>
      </c>
      <c r="E119" t="s">
        <v>2752</v>
      </c>
      <c r="F119">
        <v>2017</v>
      </c>
      <c r="G119" s="5" t="s">
        <v>2754</v>
      </c>
      <c r="H119" t="s">
        <v>28</v>
      </c>
      <c r="I119" t="s">
        <v>28</v>
      </c>
      <c r="J119" t="s">
        <v>28</v>
      </c>
      <c r="K119" t="s">
        <v>2753</v>
      </c>
      <c r="L119" t="s">
        <v>28</v>
      </c>
      <c r="M119" t="s">
        <v>28</v>
      </c>
      <c r="N119" t="s">
        <v>2755</v>
      </c>
      <c r="O119" t="s">
        <v>28</v>
      </c>
      <c r="P119" t="s">
        <v>28</v>
      </c>
      <c r="Q119" t="s">
        <v>2242</v>
      </c>
      <c r="R119" t="s">
        <v>34</v>
      </c>
      <c r="S119" t="s">
        <v>28</v>
      </c>
      <c r="T119" t="s">
        <v>28</v>
      </c>
      <c r="U119" t="s">
        <v>28</v>
      </c>
      <c r="V119" t="s">
        <v>28</v>
      </c>
      <c r="W119" t="s">
        <v>28</v>
      </c>
      <c r="X119" t="s">
        <v>2756</v>
      </c>
      <c r="Y119" t="s">
        <v>2757</v>
      </c>
      <c r="Z119" t="s">
        <v>2758</v>
      </c>
      <c r="AA119" t="s">
        <v>2759</v>
      </c>
      <c r="AB119" t="s">
        <v>28</v>
      </c>
      <c r="AC119" t="s">
        <v>2760</v>
      </c>
      <c r="AD119" t="s">
        <v>2761</v>
      </c>
      <c r="AE119" t="s">
        <v>2762</v>
      </c>
      <c r="AF119" t="s">
        <v>28</v>
      </c>
      <c r="AG119" t="s">
        <v>28</v>
      </c>
      <c r="AH119" t="s">
        <v>28</v>
      </c>
      <c r="AI119" t="s">
        <v>28</v>
      </c>
      <c r="AJ119" t="s">
        <v>28</v>
      </c>
      <c r="AK119">
        <v>70</v>
      </c>
      <c r="AL119">
        <v>3</v>
      </c>
      <c r="AM119">
        <v>4</v>
      </c>
      <c r="AN119">
        <v>1</v>
      </c>
      <c r="AO119">
        <v>7</v>
      </c>
      <c r="AP119" t="s">
        <v>2763</v>
      </c>
      <c r="AQ119" t="s">
        <v>2764</v>
      </c>
      <c r="AR119" t="s">
        <v>2765</v>
      </c>
      <c r="AS119" t="s">
        <v>2766</v>
      </c>
      <c r="AT119" t="s">
        <v>2767</v>
      </c>
      <c r="AU119" t="s">
        <v>28</v>
      </c>
      <c r="AV119" t="s">
        <v>2768</v>
      </c>
      <c r="AW119" t="s">
        <v>2769</v>
      </c>
      <c r="AX119" t="s">
        <v>28</v>
      </c>
      <c r="AY119">
        <v>15</v>
      </c>
      <c r="AZ119">
        <v>3</v>
      </c>
      <c r="BA119" t="s">
        <v>28</v>
      </c>
      <c r="BB119" t="s">
        <v>28</v>
      </c>
      <c r="BC119" t="s">
        <v>28</v>
      </c>
      <c r="BD119" t="s">
        <v>28</v>
      </c>
      <c r="BE119">
        <v>373</v>
      </c>
      <c r="BF119">
        <v>384</v>
      </c>
      <c r="BG119" t="s">
        <v>28</v>
      </c>
      <c r="BH119" t="s">
        <v>574</v>
      </c>
      <c r="BI119" t="str">
        <f>HYPERLINK("http://dx.doi.org/10.1080/15715124.2017.1315814","http://dx.doi.org/10.1080/15715124.2017.1315814")</f>
        <v>http://dx.doi.org/10.1080/15715124.2017.1315814</v>
      </c>
      <c r="BJ119" t="s">
        <v>28</v>
      </c>
      <c r="BK119" t="s">
        <v>28</v>
      </c>
      <c r="BL119">
        <v>12</v>
      </c>
      <c r="BM119" t="s">
        <v>2770</v>
      </c>
      <c r="BN119" t="s">
        <v>2771</v>
      </c>
      <c r="BO119" t="s">
        <v>2770</v>
      </c>
      <c r="BP119" t="s">
        <v>2772</v>
      </c>
      <c r="BQ119" t="s">
        <v>28</v>
      </c>
      <c r="BR119" t="s">
        <v>28</v>
      </c>
      <c r="BS119" t="s">
        <v>28</v>
      </c>
      <c r="BT119" t="s">
        <v>28</v>
      </c>
      <c r="BU119" t="s">
        <v>2261</v>
      </c>
      <c r="BV119" t="s">
        <v>2773</v>
      </c>
      <c r="BW119" t="str">
        <f>HYPERLINK("https%3A%2F%2Fwww.webofscience.com%2Fwos%2Fwoscc%2Ffull-record%2FWOS:000423964400012","View Full Record in Web of Science")</f>
        <v>View Full Record in Web of Science</v>
      </c>
    </row>
    <row r="120" spans="1:75" x14ac:dyDescent="0.35">
      <c r="A120">
        <f>COUNTIF(Scopus!$E$2:$E$128,"="&amp;Tabelle6[[#This Row],[Article Title]])</f>
        <v>0</v>
      </c>
      <c r="B120">
        <v>3</v>
      </c>
      <c r="C120" s="1" t="s">
        <v>2149</v>
      </c>
      <c r="D120" t="s">
        <v>1321</v>
      </c>
      <c r="E120" t="s">
        <v>1328</v>
      </c>
      <c r="F120" t="s">
        <v>28</v>
      </c>
      <c r="G120" t="s">
        <v>1330</v>
      </c>
      <c r="H120" t="s">
        <v>28</v>
      </c>
      <c r="I120" t="s">
        <v>28</v>
      </c>
      <c r="J120" t="s">
        <v>28</v>
      </c>
      <c r="K120" t="s">
        <v>1329</v>
      </c>
      <c r="L120" t="s">
        <v>28</v>
      </c>
      <c r="M120" t="s">
        <v>28</v>
      </c>
      <c r="N120" t="s">
        <v>1331</v>
      </c>
      <c r="O120" t="s">
        <v>28</v>
      </c>
      <c r="P120" t="s">
        <v>28</v>
      </c>
      <c r="Q120" t="s">
        <v>2242</v>
      </c>
      <c r="R120" t="s">
        <v>2720</v>
      </c>
      <c r="S120" t="s">
        <v>28</v>
      </c>
      <c r="T120" t="s">
        <v>28</v>
      </c>
      <c r="U120" t="s">
        <v>28</v>
      </c>
      <c r="V120" t="s">
        <v>28</v>
      </c>
      <c r="W120" t="s">
        <v>28</v>
      </c>
      <c r="X120" t="s">
        <v>3190</v>
      </c>
      <c r="Y120" t="s">
        <v>28</v>
      </c>
      <c r="Z120" t="s">
        <v>3191</v>
      </c>
      <c r="AA120" t="s">
        <v>3192</v>
      </c>
      <c r="AB120" t="s">
        <v>28</v>
      </c>
      <c r="AC120" t="s">
        <v>3193</v>
      </c>
      <c r="AD120" t="s">
        <v>3194</v>
      </c>
      <c r="AE120" t="s">
        <v>28</v>
      </c>
      <c r="AF120" t="s">
        <v>28</v>
      </c>
      <c r="AG120" t="s">
        <v>3195</v>
      </c>
      <c r="AH120" t="s">
        <v>3196</v>
      </c>
      <c r="AI120" t="s">
        <v>3197</v>
      </c>
      <c r="AJ120" t="s">
        <v>28</v>
      </c>
      <c r="AK120">
        <v>30</v>
      </c>
      <c r="AL120">
        <v>0</v>
      </c>
      <c r="AM120">
        <v>0</v>
      </c>
      <c r="AN120">
        <v>9</v>
      </c>
      <c r="AO120">
        <v>9</v>
      </c>
      <c r="AP120" t="s">
        <v>3198</v>
      </c>
      <c r="AQ120" t="s">
        <v>3199</v>
      </c>
      <c r="AR120" t="s">
        <v>3200</v>
      </c>
      <c r="AS120" t="s">
        <v>1332</v>
      </c>
      <c r="AT120" t="s">
        <v>1333</v>
      </c>
      <c r="AU120" t="s">
        <v>28</v>
      </c>
      <c r="AV120" t="s">
        <v>3201</v>
      </c>
      <c r="AW120" t="s">
        <v>3202</v>
      </c>
      <c r="AX120" t="s">
        <v>28</v>
      </c>
      <c r="AY120" t="s">
        <v>28</v>
      </c>
      <c r="AZ120" t="s">
        <v>28</v>
      </c>
      <c r="BA120" t="s">
        <v>28</v>
      </c>
      <c r="BB120" t="s">
        <v>28</v>
      </c>
      <c r="BC120" t="s">
        <v>28</v>
      </c>
      <c r="BD120" t="s">
        <v>28</v>
      </c>
      <c r="BE120" t="s">
        <v>28</v>
      </c>
      <c r="BF120" t="s">
        <v>28</v>
      </c>
      <c r="BG120" t="s">
        <v>28</v>
      </c>
      <c r="BH120" t="s">
        <v>1334</v>
      </c>
      <c r="BI120" t="str">
        <f>HYPERLINK("http://dx.doi.org/10.1109/TSMC.2021.3131338","http://dx.doi.org/10.1109/TSMC.2021.3131338")</f>
        <v>http://dx.doi.org/10.1109/TSMC.2021.3131338</v>
      </c>
      <c r="BJ120" t="s">
        <v>28</v>
      </c>
      <c r="BK120" t="s">
        <v>3203</v>
      </c>
      <c r="BL120">
        <v>12</v>
      </c>
      <c r="BM120" t="s">
        <v>3204</v>
      </c>
      <c r="BN120" t="s">
        <v>2314</v>
      </c>
      <c r="BO120" t="s">
        <v>3205</v>
      </c>
      <c r="BP120" t="s">
        <v>3206</v>
      </c>
      <c r="BQ120" t="s">
        <v>28</v>
      </c>
      <c r="BR120" t="s">
        <v>28</v>
      </c>
      <c r="BS120" t="s">
        <v>28</v>
      </c>
      <c r="BT120" t="s">
        <v>28</v>
      </c>
      <c r="BU120" t="s">
        <v>2261</v>
      </c>
      <c r="BV120" t="s">
        <v>1335</v>
      </c>
      <c r="BW120" t="str">
        <f>HYPERLINK("https%3A%2F%2Fwww.webofscience.com%2Fwos%2Fwoscc%2Ffull-record%2FWOS:000733491200001","View Full Record in Web of Science")</f>
        <v>View Full Record in Web of Science</v>
      </c>
    </row>
    <row r="121" spans="1:75" x14ac:dyDescent="0.35">
      <c r="A121">
        <f>COUNTIF(Scopus!$E$2:$E$128,"="&amp;Tabelle6[[#This Row],[Article Title]])</f>
        <v>1</v>
      </c>
      <c r="B121">
        <v>1</v>
      </c>
      <c r="C121" s="1" t="s">
        <v>2148</v>
      </c>
      <c r="D121" t="s">
        <v>1321</v>
      </c>
      <c r="E121" t="s">
        <v>1872</v>
      </c>
      <c r="F121">
        <v>2014</v>
      </c>
      <c r="G121" t="s">
        <v>890</v>
      </c>
      <c r="H121" t="s">
        <v>28</v>
      </c>
      <c r="I121" t="s">
        <v>28</v>
      </c>
      <c r="J121" t="s">
        <v>28</v>
      </c>
      <c r="K121" t="s">
        <v>1873</v>
      </c>
      <c r="L121" t="s">
        <v>28</v>
      </c>
      <c r="M121" t="s">
        <v>28</v>
      </c>
      <c r="N121" t="s">
        <v>1874</v>
      </c>
      <c r="O121" t="s">
        <v>28</v>
      </c>
      <c r="P121" t="s">
        <v>28</v>
      </c>
      <c r="Q121" t="s">
        <v>2242</v>
      </c>
      <c r="R121" t="s">
        <v>34</v>
      </c>
      <c r="S121" t="s">
        <v>28</v>
      </c>
      <c r="T121" t="s">
        <v>28</v>
      </c>
      <c r="U121" t="s">
        <v>28</v>
      </c>
      <c r="V121" t="s">
        <v>28</v>
      </c>
      <c r="W121" t="s">
        <v>28</v>
      </c>
      <c r="X121" t="s">
        <v>3806</v>
      </c>
      <c r="Y121" t="s">
        <v>3807</v>
      </c>
      <c r="Z121" t="s">
        <v>3808</v>
      </c>
      <c r="AA121" t="s">
        <v>3809</v>
      </c>
      <c r="AB121" t="s">
        <v>28</v>
      </c>
      <c r="AC121" t="s">
        <v>3810</v>
      </c>
      <c r="AD121" t="s">
        <v>3811</v>
      </c>
      <c r="AE121" t="s">
        <v>1875</v>
      </c>
      <c r="AF121" t="s">
        <v>1876</v>
      </c>
      <c r="AG121" t="s">
        <v>28</v>
      </c>
      <c r="AH121" t="s">
        <v>28</v>
      </c>
      <c r="AI121" t="s">
        <v>28</v>
      </c>
      <c r="AJ121" t="s">
        <v>28</v>
      </c>
      <c r="AK121">
        <v>33</v>
      </c>
      <c r="AL121">
        <v>3</v>
      </c>
      <c r="AM121">
        <v>5</v>
      </c>
      <c r="AN121">
        <v>3</v>
      </c>
      <c r="AO121">
        <v>35</v>
      </c>
      <c r="AP121" t="s">
        <v>2763</v>
      </c>
      <c r="AQ121" t="s">
        <v>2764</v>
      </c>
      <c r="AR121" t="s">
        <v>2765</v>
      </c>
      <c r="AS121" t="s">
        <v>1877</v>
      </c>
      <c r="AT121" t="s">
        <v>1878</v>
      </c>
      <c r="AU121" t="s">
        <v>28</v>
      </c>
      <c r="AV121" t="s">
        <v>3812</v>
      </c>
      <c r="AW121" t="s">
        <v>3813</v>
      </c>
      <c r="AX121" t="s">
        <v>1879</v>
      </c>
      <c r="AY121">
        <v>11</v>
      </c>
      <c r="AZ121">
        <v>1</v>
      </c>
      <c r="BA121" t="s">
        <v>28</v>
      </c>
      <c r="BB121" t="s">
        <v>28</v>
      </c>
      <c r="BC121" t="s">
        <v>28</v>
      </c>
      <c r="BD121" t="s">
        <v>28</v>
      </c>
      <c r="BE121">
        <v>17</v>
      </c>
      <c r="BF121">
        <v>37</v>
      </c>
      <c r="BG121" t="s">
        <v>28</v>
      </c>
      <c r="BH121" t="s">
        <v>892</v>
      </c>
      <c r="BI121" t="str">
        <f>HYPERLINK("http://dx.doi.org/10.1080/1943815X.2014.883413","http://dx.doi.org/10.1080/1943815X.2014.883413")</f>
        <v>http://dx.doi.org/10.1080/1943815X.2014.883413</v>
      </c>
      <c r="BJ121" t="s">
        <v>28</v>
      </c>
      <c r="BK121" t="s">
        <v>28</v>
      </c>
      <c r="BL121">
        <v>21</v>
      </c>
      <c r="BM121" t="s">
        <v>2435</v>
      </c>
      <c r="BN121" t="s">
        <v>2314</v>
      </c>
      <c r="BO121" t="s">
        <v>2436</v>
      </c>
      <c r="BP121" t="s">
        <v>3814</v>
      </c>
      <c r="BQ121" t="s">
        <v>28</v>
      </c>
      <c r="BR121" t="s">
        <v>28</v>
      </c>
      <c r="BS121" t="s">
        <v>28</v>
      </c>
      <c r="BT121" t="s">
        <v>28</v>
      </c>
      <c r="BU121" t="s">
        <v>2261</v>
      </c>
      <c r="BV121" t="s">
        <v>1880</v>
      </c>
      <c r="BW121" t="str">
        <f>HYPERLINK("https%3A%2F%2Fwww.webofscience.com%2Fwos%2Fwoscc%2Ffull-record%2FWOS:000334158400002","View Full Record in Web of Science")</f>
        <v>View Full Record in Web of Science</v>
      </c>
    </row>
    <row r="122" spans="1:75" x14ac:dyDescent="0.35">
      <c r="A122">
        <f>COUNTIF(Scopus!$E$2:$E$128,"="&amp;Tabelle6[[#This Row],[Article Title]])</f>
        <v>1</v>
      </c>
      <c r="B122">
        <v>1</v>
      </c>
      <c r="C122" s="1" t="s">
        <v>2148</v>
      </c>
      <c r="D122" t="s">
        <v>1321</v>
      </c>
      <c r="E122" t="s">
        <v>1390</v>
      </c>
      <c r="F122">
        <v>2021</v>
      </c>
      <c r="G122" t="s">
        <v>157</v>
      </c>
      <c r="H122" t="s">
        <v>28</v>
      </c>
      <c r="I122" t="s">
        <v>28</v>
      </c>
      <c r="J122" t="s">
        <v>28</v>
      </c>
      <c r="K122" t="s">
        <v>3860</v>
      </c>
      <c r="L122" t="s">
        <v>28</v>
      </c>
      <c r="M122" t="s">
        <v>28</v>
      </c>
      <c r="N122" t="s">
        <v>1391</v>
      </c>
      <c r="O122" t="s">
        <v>28</v>
      </c>
      <c r="P122" t="s">
        <v>28</v>
      </c>
      <c r="Q122" t="s">
        <v>2242</v>
      </c>
      <c r="R122" t="s">
        <v>34</v>
      </c>
      <c r="S122" t="s">
        <v>28</v>
      </c>
      <c r="T122" t="s">
        <v>28</v>
      </c>
      <c r="U122" t="s">
        <v>28</v>
      </c>
      <c r="V122" t="s">
        <v>28</v>
      </c>
      <c r="W122" t="s">
        <v>28</v>
      </c>
      <c r="X122" t="s">
        <v>3861</v>
      </c>
      <c r="Y122" t="s">
        <v>28</v>
      </c>
      <c r="Z122" t="s">
        <v>3862</v>
      </c>
      <c r="AA122" t="s">
        <v>3863</v>
      </c>
      <c r="AB122" t="s">
        <v>28</v>
      </c>
      <c r="AC122" t="s">
        <v>3864</v>
      </c>
      <c r="AD122" t="s">
        <v>3865</v>
      </c>
      <c r="AE122" t="s">
        <v>1392</v>
      </c>
      <c r="AF122" t="s">
        <v>3866</v>
      </c>
      <c r="AG122" t="s">
        <v>3867</v>
      </c>
      <c r="AH122" t="s">
        <v>3868</v>
      </c>
      <c r="AI122" t="s">
        <v>3869</v>
      </c>
      <c r="AJ122" t="s">
        <v>28</v>
      </c>
      <c r="AK122">
        <v>50</v>
      </c>
      <c r="AL122">
        <v>8</v>
      </c>
      <c r="AM122">
        <v>9</v>
      </c>
      <c r="AN122">
        <v>16</v>
      </c>
      <c r="AO122">
        <v>46</v>
      </c>
      <c r="AP122" t="s">
        <v>3870</v>
      </c>
      <c r="AQ122" t="s">
        <v>2384</v>
      </c>
      <c r="AR122" t="s">
        <v>3871</v>
      </c>
      <c r="AS122" t="s">
        <v>1393</v>
      </c>
      <c r="AT122" t="s">
        <v>28</v>
      </c>
      <c r="AU122" t="s">
        <v>28</v>
      </c>
      <c r="AV122" t="s">
        <v>3872</v>
      </c>
      <c r="AW122" t="s">
        <v>3873</v>
      </c>
      <c r="AX122" t="s">
        <v>1394</v>
      </c>
      <c r="AY122">
        <v>118</v>
      </c>
      <c r="AZ122">
        <v>14</v>
      </c>
      <c r="BA122" t="s">
        <v>28</v>
      </c>
      <c r="BB122" t="s">
        <v>28</v>
      </c>
      <c r="BC122" t="s">
        <v>28</v>
      </c>
      <c r="BD122" t="s">
        <v>28</v>
      </c>
      <c r="BE122" t="s">
        <v>28</v>
      </c>
      <c r="BF122" t="s">
        <v>28</v>
      </c>
      <c r="BG122" t="s">
        <v>161</v>
      </c>
      <c r="BH122" t="s">
        <v>162</v>
      </c>
      <c r="BI122" t="str">
        <f>HYPERLINK("http://dx.doi.org/10.1073/pnas.2020431118","http://dx.doi.org/10.1073/pnas.2020431118")</f>
        <v>http://dx.doi.org/10.1073/pnas.2020431118</v>
      </c>
      <c r="BJ122" t="s">
        <v>28</v>
      </c>
      <c r="BK122" t="s">
        <v>28</v>
      </c>
      <c r="BL122">
        <v>12</v>
      </c>
      <c r="BM122" t="s">
        <v>3544</v>
      </c>
      <c r="BN122" t="s">
        <v>2314</v>
      </c>
      <c r="BO122" t="s">
        <v>3379</v>
      </c>
      <c r="BP122" t="s">
        <v>3874</v>
      </c>
      <c r="BQ122">
        <v>33782123</v>
      </c>
      <c r="BR122" t="s">
        <v>3875</v>
      </c>
      <c r="BS122" t="s">
        <v>28</v>
      </c>
      <c r="BT122" t="s">
        <v>28</v>
      </c>
      <c r="BU122" t="s">
        <v>2261</v>
      </c>
      <c r="BV122" t="s">
        <v>1395</v>
      </c>
      <c r="BW122" t="str">
        <f>HYPERLINK("https%3A%2F%2Fwww.webofscience.com%2Fwos%2Fwoscc%2Ffull-record%2FWOS:000637398300037","View Full Record in Web of Science")</f>
        <v>View Full Record in Web of Science</v>
      </c>
    </row>
    <row r="123" spans="1:75" x14ac:dyDescent="0.35">
      <c r="A123">
        <f>COUNTIF(Scopus!$E$2:$E$128,"="&amp;Tabelle6[[#This Row],[Article Title]])</f>
        <v>0</v>
      </c>
      <c r="B123">
        <v>3</v>
      </c>
      <c r="C123" s="1" t="s">
        <v>2149</v>
      </c>
      <c r="D123" t="s">
        <v>1321</v>
      </c>
      <c r="E123" t="s">
        <v>1690</v>
      </c>
      <c r="F123">
        <v>2017</v>
      </c>
      <c r="G123" t="s">
        <v>1692</v>
      </c>
      <c r="H123" t="s">
        <v>28</v>
      </c>
      <c r="I123" t="s">
        <v>28</v>
      </c>
      <c r="J123" t="s">
        <v>28</v>
      </c>
      <c r="K123" t="s">
        <v>1691</v>
      </c>
      <c r="L123" t="s">
        <v>28</v>
      </c>
      <c r="M123" t="s">
        <v>28</v>
      </c>
      <c r="N123" t="s">
        <v>1693</v>
      </c>
      <c r="O123" t="s">
        <v>28</v>
      </c>
      <c r="P123" t="s">
        <v>28</v>
      </c>
      <c r="Q123" t="s">
        <v>2242</v>
      </c>
      <c r="R123" t="s">
        <v>34</v>
      </c>
      <c r="S123" t="s">
        <v>28</v>
      </c>
      <c r="T123" t="s">
        <v>28</v>
      </c>
      <c r="U123" t="s">
        <v>28</v>
      </c>
      <c r="V123" t="s">
        <v>28</v>
      </c>
      <c r="W123" t="s">
        <v>28</v>
      </c>
      <c r="X123" t="s">
        <v>3207</v>
      </c>
      <c r="Y123" t="s">
        <v>3208</v>
      </c>
      <c r="Z123" t="s">
        <v>3209</v>
      </c>
      <c r="AA123" t="s">
        <v>3210</v>
      </c>
      <c r="AB123" t="s">
        <v>28</v>
      </c>
      <c r="AC123" t="s">
        <v>3211</v>
      </c>
      <c r="AD123" t="s">
        <v>3212</v>
      </c>
      <c r="AE123" t="s">
        <v>28</v>
      </c>
      <c r="AF123" t="s">
        <v>28</v>
      </c>
      <c r="AG123" t="s">
        <v>3213</v>
      </c>
      <c r="AH123" t="s">
        <v>2538</v>
      </c>
      <c r="AI123" t="s">
        <v>3214</v>
      </c>
      <c r="AJ123" t="s">
        <v>28</v>
      </c>
      <c r="AK123">
        <v>89</v>
      </c>
      <c r="AL123">
        <v>10</v>
      </c>
      <c r="AM123">
        <v>12</v>
      </c>
      <c r="AN123">
        <v>9</v>
      </c>
      <c r="AO123">
        <v>100</v>
      </c>
      <c r="AP123" t="s">
        <v>2786</v>
      </c>
      <c r="AQ123" t="s">
        <v>2787</v>
      </c>
      <c r="AR123" t="s">
        <v>2788</v>
      </c>
      <c r="AS123" t="s">
        <v>1694</v>
      </c>
      <c r="AT123" t="s">
        <v>1695</v>
      </c>
      <c r="AU123" t="s">
        <v>28</v>
      </c>
      <c r="AV123" t="s">
        <v>2929</v>
      </c>
      <c r="AW123" t="s">
        <v>2930</v>
      </c>
      <c r="AX123" t="s">
        <v>1559</v>
      </c>
      <c r="AY123">
        <v>24</v>
      </c>
      <c r="AZ123">
        <v>14</v>
      </c>
      <c r="BA123" t="s">
        <v>28</v>
      </c>
      <c r="BB123" t="s">
        <v>28</v>
      </c>
      <c r="BC123" t="s">
        <v>28</v>
      </c>
      <c r="BD123" t="s">
        <v>28</v>
      </c>
      <c r="BE123">
        <v>12899</v>
      </c>
      <c r="BF123">
        <v>12917</v>
      </c>
      <c r="BG123" t="s">
        <v>28</v>
      </c>
      <c r="BH123" t="s">
        <v>1696</v>
      </c>
      <c r="BI123" t="str">
        <f>HYPERLINK("http://dx.doi.org/10.1007/s11356-017-8812-0","http://dx.doi.org/10.1007/s11356-017-8812-0")</f>
        <v>http://dx.doi.org/10.1007/s11356-017-8812-0</v>
      </c>
      <c r="BJ123" t="s">
        <v>28</v>
      </c>
      <c r="BK123" t="s">
        <v>28</v>
      </c>
      <c r="BL123">
        <v>19</v>
      </c>
      <c r="BM123" t="s">
        <v>2435</v>
      </c>
      <c r="BN123" t="s">
        <v>2258</v>
      </c>
      <c r="BO123" t="s">
        <v>2436</v>
      </c>
      <c r="BP123" t="s">
        <v>3215</v>
      </c>
      <c r="BQ123">
        <v>28365845</v>
      </c>
      <c r="BR123" t="s">
        <v>28</v>
      </c>
      <c r="BS123" t="s">
        <v>28</v>
      </c>
      <c r="BT123" t="s">
        <v>28</v>
      </c>
      <c r="BU123" t="s">
        <v>2261</v>
      </c>
      <c r="BV123" t="s">
        <v>1697</v>
      </c>
      <c r="BW123" t="str">
        <f>HYPERLINK("https%3A%2F%2Fwww.webofscience.com%2Fwos%2Fwoscc%2Ffull-record%2FWOS:000400765900040","View Full Record in Web of Science")</f>
        <v>View Full Record in Web of Science</v>
      </c>
    </row>
    <row r="124" spans="1:75" x14ac:dyDescent="0.35">
      <c r="A124">
        <f>COUNTIF(Scopus!$E$2:$E$128,"="&amp;Tabelle6[[#This Row],[Article Title]])</f>
        <v>1</v>
      </c>
      <c r="B124">
        <v>1</v>
      </c>
      <c r="C124" s="1" t="s">
        <v>2148</v>
      </c>
      <c r="D124" t="s">
        <v>1321</v>
      </c>
      <c r="E124" t="s">
        <v>1844</v>
      </c>
      <c r="F124">
        <v>2014</v>
      </c>
      <c r="G124" t="s">
        <v>865</v>
      </c>
      <c r="H124" t="s">
        <v>28</v>
      </c>
      <c r="I124" t="s">
        <v>28</v>
      </c>
      <c r="J124" t="s">
        <v>28</v>
      </c>
      <c r="K124" t="s">
        <v>1845</v>
      </c>
      <c r="L124" t="s">
        <v>28</v>
      </c>
      <c r="M124" t="s">
        <v>28</v>
      </c>
      <c r="N124" t="s">
        <v>1846</v>
      </c>
      <c r="O124" t="s">
        <v>28</v>
      </c>
      <c r="P124" t="s">
        <v>28</v>
      </c>
      <c r="Q124" t="s">
        <v>2242</v>
      </c>
      <c r="R124" t="s">
        <v>34</v>
      </c>
      <c r="S124" t="s">
        <v>28</v>
      </c>
      <c r="T124" t="s">
        <v>28</v>
      </c>
      <c r="U124" t="s">
        <v>28</v>
      </c>
      <c r="V124" t="s">
        <v>28</v>
      </c>
      <c r="W124" t="s">
        <v>28</v>
      </c>
      <c r="X124" t="s">
        <v>2335</v>
      </c>
      <c r="Y124" t="s">
        <v>2336</v>
      </c>
      <c r="Z124" t="s">
        <v>2337</v>
      </c>
      <c r="AA124" t="s">
        <v>2338</v>
      </c>
      <c r="AB124" t="s">
        <v>28</v>
      </c>
      <c r="AC124" t="s">
        <v>2339</v>
      </c>
      <c r="AD124" t="s">
        <v>2340</v>
      </c>
      <c r="AE124" t="s">
        <v>28</v>
      </c>
      <c r="AF124" t="s">
        <v>1847</v>
      </c>
      <c r="AG124" t="s">
        <v>2341</v>
      </c>
      <c r="AH124" t="s">
        <v>2342</v>
      </c>
      <c r="AI124" t="s">
        <v>2343</v>
      </c>
      <c r="AJ124" t="s">
        <v>28</v>
      </c>
      <c r="AK124">
        <v>54</v>
      </c>
      <c r="AL124">
        <v>27</v>
      </c>
      <c r="AM124">
        <v>31</v>
      </c>
      <c r="AN124">
        <v>3</v>
      </c>
      <c r="AO124">
        <v>65</v>
      </c>
      <c r="AP124" t="s">
        <v>2327</v>
      </c>
      <c r="AQ124" t="s">
        <v>2328</v>
      </c>
      <c r="AR124" t="s">
        <v>2329</v>
      </c>
      <c r="AS124" t="s">
        <v>1848</v>
      </c>
      <c r="AT124" t="s">
        <v>1849</v>
      </c>
      <c r="AU124" t="s">
        <v>28</v>
      </c>
      <c r="AV124" t="s">
        <v>2330</v>
      </c>
      <c r="AW124" t="s">
        <v>2331</v>
      </c>
      <c r="AX124" t="s">
        <v>1552</v>
      </c>
      <c r="AY124">
        <v>28</v>
      </c>
      <c r="AZ124">
        <v>10</v>
      </c>
      <c r="BA124" t="s">
        <v>28</v>
      </c>
      <c r="BB124" t="s">
        <v>28</v>
      </c>
      <c r="BC124" t="s">
        <v>28</v>
      </c>
      <c r="BD124" t="s">
        <v>28</v>
      </c>
      <c r="BE124">
        <v>2967</v>
      </c>
      <c r="BF124">
        <v>2980</v>
      </c>
      <c r="BG124" t="s">
        <v>28</v>
      </c>
      <c r="BH124" t="s">
        <v>867</v>
      </c>
      <c r="BI124" t="str">
        <f>HYPERLINK("http://dx.doi.org/10.1007/s11269-014-0649-4","http://dx.doi.org/10.1007/s11269-014-0649-4")</f>
        <v>http://dx.doi.org/10.1007/s11269-014-0649-4</v>
      </c>
      <c r="BJ124" t="s">
        <v>28</v>
      </c>
      <c r="BK124" t="s">
        <v>28</v>
      </c>
      <c r="BL124">
        <v>14</v>
      </c>
      <c r="BM124" t="s">
        <v>2332</v>
      </c>
      <c r="BN124" t="s">
        <v>2314</v>
      </c>
      <c r="BO124" t="s">
        <v>2333</v>
      </c>
      <c r="BP124" t="s">
        <v>2344</v>
      </c>
      <c r="BQ124" t="s">
        <v>28</v>
      </c>
      <c r="BR124" t="s">
        <v>28</v>
      </c>
      <c r="BS124" t="s">
        <v>28</v>
      </c>
      <c r="BT124" t="s">
        <v>28</v>
      </c>
      <c r="BU124" t="s">
        <v>2261</v>
      </c>
      <c r="BV124" t="s">
        <v>1850</v>
      </c>
      <c r="BW124" t="str">
        <f>HYPERLINK("https%3A%2F%2Fwww.webofscience.com%2Fwos%2Fwoscc%2Ffull-record%2FWOS:000338651100016","View Full Record in Web of Science")</f>
        <v>View Full Record in Web of Science</v>
      </c>
    </row>
    <row r="125" spans="1:75" x14ac:dyDescent="0.35">
      <c r="A125">
        <f>COUNTIF(Scopus!$E$2:$E$128,"="&amp;Tabelle6[[#This Row],[Article Title]])</f>
        <v>1</v>
      </c>
      <c r="B125">
        <v>1</v>
      </c>
      <c r="C125" s="1" t="s">
        <v>2148</v>
      </c>
      <c r="D125" t="s">
        <v>1321</v>
      </c>
      <c r="E125" t="s">
        <v>3110</v>
      </c>
      <c r="F125">
        <v>2007</v>
      </c>
      <c r="G125" t="s">
        <v>3112</v>
      </c>
      <c r="H125" t="s">
        <v>28</v>
      </c>
      <c r="I125" t="s">
        <v>28</v>
      </c>
      <c r="J125" t="s">
        <v>28</v>
      </c>
      <c r="K125" t="s">
        <v>3111</v>
      </c>
      <c r="L125" t="s">
        <v>28</v>
      </c>
      <c r="M125" t="s">
        <v>28</v>
      </c>
      <c r="N125" t="s">
        <v>3113</v>
      </c>
      <c r="O125" t="s">
        <v>28</v>
      </c>
      <c r="P125" t="s">
        <v>28</v>
      </c>
      <c r="Q125" t="s">
        <v>2242</v>
      </c>
      <c r="R125" t="s">
        <v>34</v>
      </c>
      <c r="S125" t="s">
        <v>28</v>
      </c>
      <c r="T125" t="s">
        <v>28</v>
      </c>
      <c r="U125" t="s">
        <v>28</v>
      </c>
      <c r="V125" t="s">
        <v>28</v>
      </c>
      <c r="W125" t="s">
        <v>28</v>
      </c>
      <c r="X125" t="s">
        <v>28</v>
      </c>
      <c r="Y125" t="s">
        <v>3114</v>
      </c>
      <c r="Z125" t="s">
        <v>3115</v>
      </c>
      <c r="AA125" t="s">
        <v>3116</v>
      </c>
      <c r="AB125" t="s">
        <v>28</v>
      </c>
      <c r="AC125" t="s">
        <v>3117</v>
      </c>
      <c r="AD125" t="s">
        <v>3118</v>
      </c>
      <c r="AE125" t="s">
        <v>28</v>
      </c>
      <c r="AF125" t="s">
        <v>28</v>
      </c>
      <c r="AG125" t="s">
        <v>28</v>
      </c>
      <c r="AH125" t="s">
        <v>28</v>
      </c>
      <c r="AI125" t="s">
        <v>28</v>
      </c>
      <c r="AJ125" t="s">
        <v>28</v>
      </c>
      <c r="AK125">
        <v>20</v>
      </c>
      <c r="AL125">
        <v>27</v>
      </c>
      <c r="AM125">
        <v>28</v>
      </c>
      <c r="AN125">
        <v>0</v>
      </c>
      <c r="AO125">
        <v>4</v>
      </c>
      <c r="AP125" t="s">
        <v>3119</v>
      </c>
      <c r="AQ125" t="s">
        <v>2309</v>
      </c>
      <c r="AR125" t="s">
        <v>3120</v>
      </c>
      <c r="AS125" t="s">
        <v>3121</v>
      </c>
      <c r="AT125" t="s">
        <v>28</v>
      </c>
      <c r="AU125" t="s">
        <v>28</v>
      </c>
      <c r="AV125" t="s">
        <v>3122</v>
      </c>
      <c r="AW125" t="s">
        <v>3123</v>
      </c>
      <c r="AX125" t="s">
        <v>1388</v>
      </c>
      <c r="AY125">
        <v>34</v>
      </c>
      <c r="AZ125">
        <v>4</v>
      </c>
      <c r="BA125" t="s">
        <v>28</v>
      </c>
      <c r="BB125" t="s">
        <v>28</v>
      </c>
      <c r="BC125" t="s">
        <v>28</v>
      </c>
      <c r="BD125" t="s">
        <v>28</v>
      </c>
      <c r="BE125">
        <v>664</v>
      </c>
      <c r="BF125">
        <v>686</v>
      </c>
      <c r="BG125" t="s">
        <v>28</v>
      </c>
      <c r="BH125" t="s">
        <v>1163</v>
      </c>
      <c r="BI125" t="str">
        <f>HYPERLINK("http://dx.doi.org/10.1068/b32152","http://dx.doi.org/10.1068/b32152")</f>
        <v>http://dx.doi.org/10.1068/b32152</v>
      </c>
      <c r="BJ125" t="s">
        <v>28</v>
      </c>
      <c r="BK125" t="s">
        <v>28</v>
      </c>
      <c r="BL125">
        <v>23</v>
      </c>
      <c r="BM125" t="s">
        <v>3124</v>
      </c>
      <c r="BN125" t="s">
        <v>2465</v>
      </c>
      <c r="BO125" t="s">
        <v>2436</v>
      </c>
      <c r="BP125" t="s">
        <v>3125</v>
      </c>
      <c r="BQ125" t="s">
        <v>28</v>
      </c>
      <c r="BR125" t="s">
        <v>28</v>
      </c>
      <c r="BS125" t="s">
        <v>28</v>
      </c>
      <c r="BT125" t="s">
        <v>28</v>
      </c>
      <c r="BU125" t="s">
        <v>2261</v>
      </c>
      <c r="BV125" t="s">
        <v>3126</v>
      </c>
      <c r="BW125" t="str">
        <f>HYPERLINK("https%3A%2F%2Fwww.webofscience.com%2Fwos%2Fwoscc%2Ffull-record%2FWOS:000248633500008","View Full Record in Web of Science")</f>
        <v>View Full Record in Web of Science</v>
      </c>
    </row>
    <row r="126" spans="1:75" ht="26" customHeight="1" x14ac:dyDescent="0.35">
      <c r="A126">
        <f>COUNTIF(Scopus!$E$2:$E$128,"="&amp;Tabelle6[[#This Row],[Article Title]])</f>
        <v>0</v>
      </c>
      <c r="B126">
        <v>4</v>
      </c>
      <c r="C126" s="1" t="s">
        <v>4535</v>
      </c>
      <c r="D126" t="s">
        <v>1321</v>
      </c>
      <c r="E126" t="s">
        <v>3093</v>
      </c>
      <c r="F126">
        <v>2022</v>
      </c>
      <c r="G126" s="5" t="s">
        <v>3095</v>
      </c>
      <c r="H126" t="s">
        <v>28</v>
      </c>
      <c r="I126" t="s">
        <v>28</v>
      </c>
      <c r="J126" t="s">
        <v>28</v>
      </c>
      <c r="K126" t="s">
        <v>3094</v>
      </c>
      <c r="L126" t="s">
        <v>28</v>
      </c>
      <c r="M126" t="s">
        <v>28</v>
      </c>
      <c r="N126" t="s">
        <v>1361</v>
      </c>
      <c r="O126" t="s">
        <v>28</v>
      </c>
      <c r="P126" t="s">
        <v>28</v>
      </c>
      <c r="Q126" t="s">
        <v>2242</v>
      </c>
      <c r="R126" t="s">
        <v>34</v>
      </c>
      <c r="S126" t="s">
        <v>28</v>
      </c>
      <c r="T126" t="s">
        <v>28</v>
      </c>
      <c r="U126" t="s">
        <v>28</v>
      </c>
      <c r="V126" t="s">
        <v>28</v>
      </c>
      <c r="W126" t="s">
        <v>28</v>
      </c>
      <c r="X126" t="s">
        <v>3096</v>
      </c>
      <c r="Y126" t="s">
        <v>3097</v>
      </c>
      <c r="Z126" t="s">
        <v>3098</v>
      </c>
      <c r="AA126" t="s">
        <v>3099</v>
      </c>
      <c r="AB126" t="s">
        <v>28</v>
      </c>
      <c r="AC126" t="s">
        <v>3100</v>
      </c>
      <c r="AD126" t="s">
        <v>3101</v>
      </c>
      <c r="AE126" t="s">
        <v>28</v>
      </c>
      <c r="AF126" t="s">
        <v>3102</v>
      </c>
      <c r="AG126" t="s">
        <v>3103</v>
      </c>
      <c r="AH126" t="s">
        <v>3104</v>
      </c>
      <c r="AI126" t="s">
        <v>3105</v>
      </c>
      <c r="AJ126" t="s">
        <v>28</v>
      </c>
      <c r="AK126">
        <v>66</v>
      </c>
      <c r="AL126">
        <v>0</v>
      </c>
      <c r="AM126">
        <v>0</v>
      </c>
      <c r="AN126">
        <v>19</v>
      </c>
      <c r="AO126">
        <v>19</v>
      </c>
      <c r="AP126" t="s">
        <v>2252</v>
      </c>
      <c r="AQ126" t="s">
        <v>2253</v>
      </c>
      <c r="AR126" t="s">
        <v>2254</v>
      </c>
      <c r="AS126" t="s">
        <v>1362</v>
      </c>
      <c r="AT126" t="s">
        <v>1363</v>
      </c>
      <c r="AU126" t="s">
        <v>28</v>
      </c>
      <c r="AV126" t="s">
        <v>2879</v>
      </c>
      <c r="AW126" t="s">
        <v>2880</v>
      </c>
      <c r="AX126" t="s">
        <v>3106</v>
      </c>
      <c r="AY126">
        <v>359</v>
      </c>
      <c r="AZ126" t="s">
        <v>28</v>
      </c>
      <c r="BA126" t="s">
        <v>28</v>
      </c>
      <c r="BB126" t="s">
        <v>28</v>
      </c>
      <c r="BC126" t="s">
        <v>28</v>
      </c>
      <c r="BD126" t="s">
        <v>28</v>
      </c>
      <c r="BE126" t="s">
        <v>28</v>
      </c>
      <c r="BF126" t="s">
        <v>28</v>
      </c>
      <c r="BG126">
        <v>132063</v>
      </c>
      <c r="BH126" t="s">
        <v>3107</v>
      </c>
      <c r="BI126" t="str">
        <f>HYPERLINK("http://dx.doi.org/10.1016/j.jclepro.2022.132063","http://dx.doi.org/10.1016/j.jclepro.2022.132063")</f>
        <v>http://dx.doi.org/10.1016/j.jclepro.2022.132063</v>
      </c>
      <c r="BJ126" t="s">
        <v>28</v>
      </c>
      <c r="BK126" t="s">
        <v>28</v>
      </c>
      <c r="BL126">
        <v>13</v>
      </c>
      <c r="BM126" t="s">
        <v>2882</v>
      </c>
      <c r="BN126" t="s">
        <v>2314</v>
      </c>
      <c r="BO126" t="s">
        <v>2883</v>
      </c>
      <c r="BP126" t="s">
        <v>3108</v>
      </c>
      <c r="BQ126" t="s">
        <v>28</v>
      </c>
      <c r="BR126" t="s">
        <v>28</v>
      </c>
      <c r="BS126" t="s">
        <v>28</v>
      </c>
      <c r="BT126" t="s">
        <v>28</v>
      </c>
      <c r="BU126" t="s">
        <v>2261</v>
      </c>
      <c r="BV126" t="s">
        <v>3109</v>
      </c>
      <c r="BW126" t="str">
        <f>HYPERLINK("https%3A%2F%2Fwww.webofscience.com%2Fwos%2Fwoscc%2Ffull-record%2FWOS:000799160000006","View Full Record in Web of Science")</f>
        <v>View Full Record in Web of Science</v>
      </c>
    </row>
    <row r="127" spans="1:75" x14ac:dyDescent="0.35">
      <c r="A127">
        <f>COUNTIF(Scopus!$E$2:$E$128,"="&amp;Tabelle6[[#This Row],[Article Title]])</f>
        <v>1</v>
      </c>
      <c r="B127">
        <v>1</v>
      </c>
      <c r="C127" s="1" t="s">
        <v>2148</v>
      </c>
      <c r="D127" t="s">
        <v>1321</v>
      </c>
      <c r="E127" t="s">
        <v>3292</v>
      </c>
      <c r="F127">
        <v>2022</v>
      </c>
      <c r="G127" t="s">
        <v>25</v>
      </c>
      <c r="H127" t="s">
        <v>28</v>
      </c>
      <c r="I127" t="s">
        <v>28</v>
      </c>
      <c r="J127" t="s">
        <v>28</v>
      </c>
      <c r="K127" t="s">
        <v>3293</v>
      </c>
      <c r="L127" t="s">
        <v>28</v>
      </c>
      <c r="M127" t="s">
        <v>28</v>
      </c>
      <c r="N127" t="s">
        <v>3294</v>
      </c>
      <c r="O127" t="s">
        <v>28</v>
      </c>
      <c r="P127" t="s">
        <v>28</v>
      </c>
      <c r="Q127" t="s">
        <v>2242</v>
      </c>
      <c r="R127" t="s">
        <v>34</v>
      </c>
      <c r="S127" t="s">
        <v>28</v>
      </c>
      <c r="T127" t="s">
        <v>28</v>
      </c>
      <c r="U127" t="s">
        <v>28</v>
      </c>
      <c r="V127" t="s">
        <v>28</v>
      </c>
      <c r="W127" t="s">
        <v>28</v>
      </c>
      <c r="X127" t="s">
        <v>3295</v>
      </c>
      <c r="Y127" t="s">
        <v>3296</v>
      </c>
      <c r="Z127" t="s">
        <v>3297</v>
      </c>
      <c r="AA127" t="s">
        <v>3298</v>
      </c>
      <c r="AB127" t="s">
        <v>28</v>
      </c>
      <c r="AC127" t="s">
        <v>3299</v>
      </c>
      <c r="AD127" t="s">
        <v>3300</v>
      </c>
      <c r="AE127" t="s">
        <v>3301</v>
      </c>
      <c r="AF127" t="s">
        <v>28</v>
      </c>
      <c r="AG127" t="s">
        <v>3302</v>
      </c>
      <c r="AH127" t="s">
        <v>3303</v>
      </c>
      <c r="AI127" t="s">
        <v>3304</v>
      </c>
      <c r="AJ127" t="s">
        <v>28</v>
      </c>
      <c r="AK127">
        <v>44</v>
      </c>
      <c r="AL127">
        <v>0</v>
      </c>
      <c r="AM127">
        <v>0</v>
      </c>
      <c r="AN127">
        <v>3</v>
      </c>
      <c r="AO127">
        <v>3</v>
      </c>
      <c r="AP127" t="s">
        <v>2293</v>
      </c>
      <c r="AQ127" t="s">
        <v>2294</v>
      </c>
      <c r="AR127" t="s">
        <v>2295</v>
      </c>
      <c r="AS127" t="s">
        <v>3305</v>
      </c>
      <c r="AT127" t="s">
        <v>3306</v>
      </c>
      <c r="AU127" t="s">
        <v>28</v>
      </c>
      <c r="AV127" t="s">
        <v>3307</v>
      </c>
      <c r="AW127" t="s">
        <v>3308</v>
      </c>
      <c r="AX127" t="s">
        <v>1415</v>
      </c>
      <c r="AY127">
        <v>179</v>
      </c>
      <c r="AZ127" t="s">
        <v>28</v>
      </c>
      <c r="BA127" t="s">
        <v>28</v>
      </c>
      <c r="BB127" t="s">
        <v>28</v>
      </c>
      <c r="BC127" t="s">
        <v>28</v>
      </c>
      <c r="BD127" t="s">
        <v>28</v>
      </c>
      <c r="BE127" t="s">
        <v>28</v>
      </c>
      <c r="BF127" t="s">
        <v>28</v>
      </c>
      <c r="BG127">
        <v>106613</v>
      </c>
      <c r="BH127" t="s">
        <v>30</v>
      </c>
      <c r="BI127" t="str">
        <f>HYPERLINK("http://dx.doi.org/10.1016/j.ecoleng.2022.106613","http://dx.doi.org/10.1016/j.ecoleng.2022.106613")</f>
        <v>http://dx.doi.org/10.1016/j.ecoleng.2022.106613</v>
      </c>
      <c r="BJ127" t="s">
        <v>28</v>
      </c>
      <c r="BK127" t="s">
        <v>28</v>
      </c>
      <c r="BL127">
        <v>12</v>
      </c>
      <c r="BM127" t="s">
        <v>3309</v>
      </c>
      <c r="BN127" t="s">
        <v>2314</v>
      </c>
      <c r="BO127" t="s">
        <v>3310</v>
      </c>
      <c r="BP127" t="s">
        <v>3311</v>
      </c>
      <c r="BQ127" t="s">
        <v>28</v>
      </c>
      <c r="BR127" t="s">
        <v>28</v>
      </c>
      <c r="BS127" t="s">
        <v>28</v>
      </c>
      <c r="BT127" t="s">
        <v>28</v>
      </c>
      <c r="BU127" t="s">
        <v>2261</v>
      </c>
      <c r="BV127" t="s">
        <v>3312</v>
      </c>
      <c r="BW127" t="str">
        <f>HYPERLINK("https%3A%2F%2Fwww.webofscience.com%2Fwos%2Fwoscc%2Ffull-record%2FWOS:000792774500011","View Full Record in Web of Science")</f>
        <v>View Full Record in Web of Science</v>
      </c>
    </row>
    <row r="128" spans="1:75" x14ac:dyDescent="0.35">
      <c r="A128">
        <f>COUNTIF(Scopus!$E$2:$E$128,"="&amp;Tabelle6[[#This Row],[Article Title]])</f>
        <v>0</v>
      </c>
      <c r="B128">
        <v>3</v>
      </c>
      <c r="C128" s="1" t="s">
        <v>2149</v>
      </c>
      <c r="D128" t="s">
        <v>1321</v>
      </c>
      <c r="E128" t="s">
        <v>1627</v>
      </c>
      <c r="F128">
        <v>2018</v>
      </c>
      <c r="G128" t="s">
        <v>1629</v>
      </c>
      <c r="H128" t="s">
        <v>28</v>
      </c>
      <c r="I128" t="s">
        <v>28</v>
      </c>
      <c r="J128" t="s">
        <v>28</v>
      </c>
      <c r="K128" t="s">
        <v>1628</v>
      </c>
      <c r="L128" t="s">
        <v>28</v>
      </c>
      <c r="M128" t="s">
        <v>28</v>
      </c>
      <c r="N128" t="s">
        <v>1399</v>
      </c>
      <c r="O128" t="s">
        <v>28</v>
      </c>
      <c r="P128" t="s">
        <v>28</v>
      </c>
      <c r="Q128" t="s">
        <v>2242</v>
      </c>
      <c r="R128" t="s">
        <v>34</v>
      </c>
      <c r="S128" t="s">
        <v>28</v>
      </c>
      <c r="T128" t="s">
        <v>28</v>
      </c>
      <c r="U128" t="s">
        <v>28</v>
      </c>
      <c r="V128" t="s">
        <v>28</v>
      </c>
      <c r="W128" t="s">
        <v>28</v>
      </c>
      <c r="X128" t="s">
        <v>3762</v>
      </c>
      <c r="Y128" t="s">
        <v>3763</v>
      </c>
      <c r="Z128" t="s">
        <v>3764</v>
      </c>
      <c r="AA128" t="s">
        <v>3765</v>
      </c>
      <c r="AB128" t="s">
        <v>28</v>
      </c>
      <c r="AC128" t="s">
        <v>3766</v>
      </c>
      <c r="AD128" t="s">
        <v>3767</v>
      </c>
      <c r="AE128" t="s">
        <v>1630</v>
      </c>
      <c r="AF128" t="s">
        <v>3768</v>
      </c>
      <c r="AG128" t="s">
        <v>3769</v>
      </c>
      <c r="AH128" t="s">
        <v>3770</v>
      </c>
      <c r="AI128" t="s">
        <v>3771</v>
      </c>
      <c r="AJ128" t="s">
        <v>28</v>
      </c>
      <c r="AK128">
        <v>36</v>
      </c>
      <c r="AL128">
        <v>14</v>
      </c>
      <c r="AM128">
        <v>15</v>
      </c>
      <c r="AN128">
        <v>4</v>
      </c>
      <c r="AO128">
        <v>29</v>
      </c>
      <c r="AP128" t="s">
        <v>2409</v>
      </c>
      <c r="AQ128" t="s">
        <v>2274</v>
      </c>
      <c r="AR128" t="s">
        <v>2410</v>
      </c>
      <c r="AS128" t="s">
        <v>1400</v>
      </c>
      <c r="AT128" t="s">
        <v>28</v>
      </c>
      <c r="AU128" t="s">
        <v>28</v>
      </c>
      <c r="AV128" t="s">
        <v>2276</v>
      </c>
      <c r="AW128" t="s">
        <v>2277</v>
      </c>
      <c r="AX128" t="s">
        <v>1559</v>
      </c>
      <c r="AY128">
        <v>10</v>
      </c>
      <c r="AZ128">
        <v>5</v>
      </c>
      <c r="BA128" t="s">
        <v>28</v>
      </c>
      <c r="BB128" t="s">
        <v>28</v>
      </c>
      <c r="BC128" t="s">
        <v>28</v>
      </c>
      <c r="BD128" t="s">
        <v>28</v>
      </c>
      <c r="BE128" t="s">
        <v>28</v>
      </c>
      <c r="BF128" t="s">
        <v>28</v>
      </c>
      <c r="BG128">
        <v>622</v>
      </c>
      <c r="BH128" t="s">
        <v>1631</v>
      </c>
      <c r="BI128" t="str">
        <f>HYPERLINK("http://dx.doi.org/10.3390/w10050622","http://dx.doi.org/10.3390/w10050622")</f>
        <v>http://dx.doi.org/10.3390/w10050622</v>
      </c>
      <c r="BJ128" t="s">
        <v>28</v>
      </c>
      <c r="BK128" t="s">
        <v>28</v>
      </c>
      <c r="BL128">
        <v>20</v>
      </c>
      <c r="BM128" t="s">
        <v>2278</v>
      </c>
      <c r="BN128" t="s">
        <v>2314</v>
      </c>
      <c r="BO128" t="s">
        <v>2279</v>
      </c>
      <c r="BP128" t="s">
        <v>3772</v>
      </c>
      <c r="BQ128" t="s">
        <v>28</v>
      </c>
      <c r="BR128" t="s">
        <v>2281</v>
      </c>
      <c r="BS128" t="s">
        <v>28</v>
      </c>
      <c r="BT128" t="s">
        <v>28</v>
      </c>
      <c r="BU128" t="s">
        <v>2261</v>
      </c>
      <c r="BV128" t="s">
        <v>1632</v>
      </c>
      <c r="BW128" t="str">
        <f>HYPERLINK("https%3A%2F%2Fwww.webofscience.com%2Fwos%2Fwoscc%2Ffull-record%2FWOS:000435196700088","View Full Record in Web of Science")</f>
        <v>View Full Record in Web of Science</v>
      </c>
    </row>
    <row r="129" spans="1:75" x14ac:dyDescent="0.35">
      <c r="A129">
        <f>COUNTIF(Scopus!$E$2:$E$128,"="&amp;Tabelle6[[#This Row],[Article Title]])</f>
        <v>0</v>
      </c>
      <c r="B129">
        <v>3</v>
      </c>
      <c r="C129" s="1" t="s">
        <v>2149</v>
      </c>
      <c r="D129" t="s">
        <v>1321</v>
      </c>
      <c r="E129" t="s">
        <v>1525</v>
      </c>
      <c r="F129">
        <v>2019</v>
      </c>
      <c r="G129" t="s">
        <v>1527</v>
      </c>
      <c r="H129" t="s">
        <v>28</v>
      </c>
      <c r="I129" t="s">
        <v>28</v>
      </c>
      <c r="J129" t="s">
        <v>28</v>
      </c>
      <c r="K129" t="s">
        <v>1526</v>
      </c>
      <c r="L129" t="s">
        <v>28</v>
      </c>
      <c r="M129" t="s">
        <v>28</v>
      </c>
      <c r="N129" t="s">
        <v>1528</v>
      </c>
      <c r="O129" t="s">
        <v>28</v>
      </c>
      <c r="P129" t="s">
        <v>28</v>
      </c>
      <c r="Q129" t="s">
        <v>2242</v>
      </c>
      <c r="R129" t="s">
        <v>34</v>
      </c>
      <c r="S129" t="s">
        <v>28</v>
      </c>
      <c r="T129" t="s">
        <v>28</v>
      </c>
      <c r="U129" t="s">
        <v>28</v>
      </c>
      <c r="V129" t="s">
        <v>28</v>
      </c>
      <c r="W129" t="s">
        <v>28</v>
      </c>
      <c r="X129" t="s">
        <v>28</v>
      </c>
      <c r="Y129" t="s">
        <v>3617</v>
      </c>
      <c r="Z129" t="s">
        <v>3618</v>
      </c>
      <c r="AA129" t="s">
        <v>3619</v>
      </c>
      <c r="AB129" t="s">
        <v>28</v>
      </c>
      <c r="AC129" t="s">
        <v>3620</v>
      </c>
      <c r="AD129" t="s">
        <v>3621</v>
      </c>
      <c r="AE129" t="s">
        <v>1529</v>
      </c>
      <c r="AF129" t="s">
        <v>1530</v>
      </c>
      <c r="AG129" t="s">
        <v>3622</v>
      </c>
      <c r="AH129" t="s">
        <v>3623</v>
      </c>
      <c r="AI129" t="s">
        <v>3624</v>
      </c>
      <c r="AJ129" t="s">
        <v>28</v>
      </c>
      <c r="AK129">
        <v>54</v>
      </c>
      <c r="AL129">
        <v>10</v>
      </c>
      <c r="AM129">
        <v>12</v>
      </c>
      <c r="AN129">
        <v>5</v>
      </c>
      <c r="AO129">
        <v>35</v>
      </c>
      <c r="AP129" t="s">
        <v>3625</v>
      </c>
      <c r="AQ129" t="s">
        <v>3626</v>
      </c>
      <c r="AR129" t="s">
        <v>3627</v>
      </c>
      <c r="AS129" t="s">
        <v>1531</v>
      </c>
      <c r="AT129" t="s">
        <v>1532</v>
      </c>
      <c r="AU129" t="s">
        <v>28</v>
      </c>
      <c r="AV129" t="s">
        <v>3628</v>
      </c>
      <c r="AW129" t="s">
        <v>3629</v>
      </c>
      <c r="AX129" t="s">
        <v>1533</v>
      </c>
      <c r="AY129">
        <v>23</v>
      </c>
      <c r="AZ129">
        <v>8</v>
      </c>
      <c r="BA129" t="s">
        <v>28</v>
      </c>
      <c r="BB129" t="s">
        <v>28</v>
      </c>
      <c r="BC129" t="s">
        <v>28</v>
      </c>
      <c r="BD129" t="s">
        <v>28</v>
      </c>
      <c r="BE129">
        <v>3353</v>
      </c>
      <c r="BF129">
        <v>3372</v>
      </c>
      <c r="BG129" t="s">
        <v>28</v>
      </c>
      <c r="BH129" t="s">
        <v>1534</v>
      </c>
      <c r="BI129" t="str">
        <f>HYPERLINK("http://dx.doi.org/10.5194/hess-23-3353-2019","http://dx.doi.org/10.5194/hess-23-3353-2019")</f>
        <v>http://dx.doi.org/10.5194/hess-23-3353-2019</v>
      </c>
      <c r="BJ129" t="s">
        <v>28</v>
      </c>
      <c r="BK129" t="s">
        <v>28</v>
      </c>
      <c r="BL129">
        <v>20</v>
      </c>
      <c r="BM129" t="s">
        <v>3630</v>
      </c>
      <c r="BN129" t="s">
        <v>2314</v>
      </c>
      <c r="BO129" t="s">
        <v>3631</v>
      </c>
      <c r="BP129" t="s">
        <v>3632</v>
      </c>
      <c r="BQ129" t="s">
        <v>28</v>
      </c>
      <c r="BR129" t="s">
        <v>3633</v>
      </c>
      <c r="BS129" t="s">
        <v>28</v>
      </c>
      <c r="BT129" t="s">
        <v>28</v>
      </c>
      <c r="BU129" t="s">
        <v>2261</v>
      </c>
      <c r="BV129" t="s">
        <v>1535</v>
      </c>
      <c r="BW129" t="str">
        <f>HYPERLINK("https%3A%2F%2Fwww.webofscience.com%2Fwos%2Fwoscc%2Ffull-record%2FWOS:000481688200002","View Full Record in Web of Science")</f>
        <v>View Full Record in Web of Science</v>
      </c>
    </row>
    <row r="130" spans="1:75" x14ac:dyDescent="0.35">
      <c r="A130">
        <f>COUNTIF(Scopus!$E$2:$E$128,"="&amp;Tabelle6[[#This Row],[Article Title]])</f>
        <v>1</v>
      </c>
      <c r="B130">
        <v>1</v>
      </c>
      <c r="C130" s="1" t="s">
        <v>2148</v>
      </c>
      <c r="D130" t="s">
        <v>1321</v>
      </c>
      <c r="E130" t="s">
        <v>1467</v>
      </c>
      <c r="F130">
        <v>2020</v>
      </c>
      <c r="G130" t="s">
        <v>247</v>
      </c>
      <c r="H130" t="s">
        <v>28</v>
      </c>
      <c r="I130" t="s">
        <v>28</v>
      </c>
      <c r="J130" t="s">
        <v>28</v>
      </c>
      <c r="K130" t="s">
        <v>1468</v>
      </c>
      <c r="L130" t="s">
        <v>28</v>
      </c>
      <c r="M130" t="s">
        <v>28</v>
      </c>
      <c r="N130" t="s">
        <v>1469</v>
      </c>
      <c r="O130" t="s">
        <v>28</v>
      </c>
      <c r="P130" t="s">
        <v>28</v>
      </c>
      <c r="Q130" t="s">
        <v>2242</v>
      </c>
      <c r="R130" t="s">
        <v>34</v>
      </c>
      <c r="S130" t="s">
        <v>28</v>
      </c>
      <c r="T130" t="s">
        <v>28</v>
      </c>
      <c r="U130" t="s">
        <v>28</v>
      </c>
      <c r="V130" t="s">
        <v>28</v>
      </c>
      <c r="W130" t="s">
        <v>28</v>
      </c>
      <c r="X130" t="s">
        <v>2423</v>
      </c>
      <c r="Y130" t="s">
        <v>2424</v>
      </c>
      <c r="Z130" t="s">
        <v>2425</v>
      </c>
      <c r="AA130" t="s">
        <v>2426</v>
      </c>
      <c r="AB130" t="s">
        <v>28</v>
      </c>
      <c r="AC130" t="s">
        <v>2427</v>
      </c>
      <c r="AD130" t="s">
        <v>2428</v>
      </c>
      <c r="AE130" t="s">
        <v>28</v>
      </c>
      <c r="AF130" t="s">
        <v>2429</v>
      </c>
      <c r="AG130" t="s">
        <v>2430</v>
      </c>
      <c r="AH130" t="s">
        <v>2431</v>
      </c>
      <c r="AI130" t="s">
        <v>2432</v>
      </c>
      <c r="AJ130" t="s">
        <v>28</v>
      </c>
      <c r="AK130">
        <v>58</v>
      </c>
      <c r="AL130">
        <v>8</v>
      </c>
      <c r="AM130">
        <v>8</v>
      </c>
      <c r="AN130">
        <v>8</v>
      </c>
      <c r="AO130">
        <v>49</v>
      </c>
      <c r="AP130" t="s">
        <v>2293</v>
      </c>
      <c r="AQ130" t="s">
        <v>2294</v>
      </c>
      <c r="AR130" t="s">
        <v>2295</v>
      </c>
      <c r="AS130" t="s">
        <v>1470</v>
      </c>
      <c r="AT130" t="s">
        <v>1471</v>
      </c>
      <c r="AU130" t="s">
        <v>28</v>
      </c>
      <c r="AV130" t="s">
        <v>2433</v>
      </c>
      <c r="AW130" t="s">
        <v>2434</v>
      </c>
      <c r="AX130" t="s">
        <v>1472</v>
      </c>
      <c r="AY130">
        <v>708</v>
      </c>
      <c r="AZ130" t="s">
        <v>28</v>
      </c>
      <c r="BA130" t="s">
        <v>28</v>
      </c>
      <c r="BB130" t="s">
        <v>28</v>
      </c>
      <c r="BC130" t="s">
        <v>28</v>
      </c>
      <c r="BD130" t="s">
        <v>28</v>
      </c>
      <c r="BE130" t="s">
        <v>28</v>
      </c>
      <c r="BF130" t="s">
        <v>28</v>
      </c>
      <c r="BG130">
        <v>135086</v>
      </c>
      <c r="BH130" t="s">
        <v>251</v>
      </c>
      <c r="BI130" t="str">
        <f>HYPERLINK("http://dx.doi.org/10.1016/j.scitotenv.2019.135086","http://dx.doi.org/10.1016/j.scitotenv.2019.135086")</f>
        <v>http://dx.doi.org/10.1016/j.scitotenv.2019.135086</v>
      </c>
      <c r="BJ130" t="s">
        <v>28</v>
      </c>
      <c r="BK130" t="s">
        <v>28</v>
      </c>
      <c r="BL130">
        <v>12</v>
      </c>
      <c r="BM130" t="s">
        <v>2435</v>
      </c>
      <c r="BN130" t="s">
        <v>2258</v>
      </c>
      <c r="BO130" t="s">
        <v>2436</v>
      </c>
      <c r="BP130" t="s">
        <v>2437</v>
      </c>
      <c r="BQ130">
        <v>31806314</v>
      </c>
      <c r="BR130" t="s">
        <v>2438</v>
      </c>
      <c r="BS130" t="s">
        <v>28</v>
      </c>
      <c r="BT130" t="s">
        <v>28</v>
      </c>
      <c r="BU130" t="s">
        <v>2261</v>
      </c>
      <c r="BV130" t="s">
        <v>1473</v>
      </c>
      <c r="BW130" t="str">
        <f>HYPERLINK("https%3A%2F%2Fwww.webofscience.com%2Fwos%2Fwoscc%2Ffull-record%2FWOS:000506214900105","View Full Record in Web of Science")</f>
        <v>View Full Record in Web of Science</v>
      </c>
    </row>
    <row r="131" spans="1:75" x14ac:dyDescent="0.35">
      <c r="A131">
        <f>COUNTIF(Scopus!$E$2:$E$128,"="&amp;Tabelle6[[#This Row],[Article Title]])</f>
        <v>1</v>
      </c>
      <c r="B131">
        <v>1</v>
      </c>
      <c r="C131" s="1" t="s">
        <v>2148</v>
      </c>
      <c r="D131" t="s">
        <v>1321</v>
      </c>
      <c r="E131" t="s">
        <v>3465</v>
      </c>
      <c r="F131">
        <v>2017</v>
      </c>
      <c r="G131" t="s">
        <v>3467</v>
      </c>
      <c r="H131" t="s">
        <v>28</v>
      </c>
      <c r="I131" t="s">
        <v>28</v>
      </c>
      <c r="J131" t="s">
        <v>28</v>
      </c>
      <c r="K131" t="s">
        <v>3466</v>
      </c>
      <c r="L131" t="s">
        <v>28</v>
      </c>
      <c r="M131" t="s">
        <v>28</v>
      </c>
      <c r="N131" t="s">
        <v>3468</v>
      </c>
      <c r="O131" t="s">
        <v>28</v>
      </c>
      <c r="P131" t="s">
        <v>28</v>
      </c>
      <c r="Q131" t="s">
        <v>2242</v>
      </c>
      <c r="R131" t="s">
        <v>34</v>
      </c>
      <c r="S131" t="s">
        <v>28</v>
      </c>
      <c r="T131" t="s">
        <v>28</v>
      </c>
      <c r="U131" t="s">
        <v>28</v>
      </c>
      <c r="V131" t="s">
        <v>28</v>
      </c>
      <c r="W131" t="s">
        <v>28</v>
      </c>
      <c r="X131" t="s">
        <v>3469</v>
      </c>
      <c r="Y131" t="s">
        <v>3470</v>
      </c>
      <c r="Z131" t="s">
        <v>3471</v>
      </c>
      <c r="AA131" t="s">
        <v>3472</v>
      </c>
      <c r="AB131" t="s">
        <v>28</v>
      </c>
      <c r="AC131" t="s">
        <v>3473</v>
      </c>
      <c r="AD131" t="s">
        <v>3474</v>
      </c>
      <c r="AE131" t="s">
        <v>28</v>
      </c>
      <c r="AF131" t="s">
        <v>3475</v>
      </c>
      <c r="AG131" t="s">
        <v>3476</v>
      </c>
      <c r="AH131" t="s">
        <v>3477</v>
      </c>
      <c r="AI131" t="s">
        <v>3478</v>
      </c>
      <c r="AJ131" t="s">
        <v>28</v>
      </c>
      <c r="AK131">
        <v>32</v>
      </c>
      <c r="AL131">
        <v>5</v>
      </c>
      <c r="AM131">
        <v>5</v>
      </c>
      <c r="AN131">
        <v>3</v>
      </c>
      <c r="AO131">
        <v>11</v>
      </c>
      <c r="AP131" t="s">
        <v>3479</v>
      </c>
      <c r="AQ131" t="s">
        <v>3480</v>
      </c>
      <c r="AR131" t="s">
        <v>3481</v>
      </c>
      <c r="AS131" t="s">
        <v>3482</v>
      </c>
      <c r="AT131" t="s">
        <v>28</v>
      </c>
      <c r="AU131" t="s">
        <v>28</v>
      </c>
      <c r="AV131" t="s">
        <v>3483</v>
      </c>
      <c r="AW131" t="s">
        <v>3484</v>
      </c>
      <c r="AX131" t="s">
        <v>28</v>
      </c>
      <c r="AY131">
        <v>2</v>
      </c>
      <c r="AZ131">
        <v>4</v>
      </c>
      <c r="BA131" t="s">
        <v>28</v>
      </c>
      <c r="BB131" t="s">
        <v>28</v>
      </c>
      <c r="BC131" t="s">
        <v>28</v>
      </c>
      <c r="BD131" t="s">
        <v>28</v>
      </c>
      <c r="BE131">
        <v>115</v>
      </c>
      <c r="BF131">
        <v>132</v>
      </c>
      <c r="BG131" t="s">
        <v>28</v>
      </c>
      <c r="BH131" t="s">
        <v>631</v>
      </c>
      <c r="BI131" t="str">
        <f>HYPERLINK("http://dx.doi.org/10.17645/up.v2i4.1039","http://dx.doi.org/10.17645/up.v2i4.1039")</f>
        <v>http://dx.doi.org/10.17645/up.v2i4.1039</v>
      </c>
      <c r="BJ131" t="s">
        <v>28</v>
      </c>
      <c r="BK131" t="s">
        <v>28</v>
      </c>
      <c r="BL131">
        <v>18</v>
      </c>
      <c r="BM131" t="s">
        <v>3485</v>
      </c>
      <c r="BN131" t="s">
        <v>2771</v>
      </c>
      <c r="BO131" t="s">
        <v>3485</v>
      </c>
      <c r="BP131" t="s">
        <v>3486</v>
      </c>
      <c r="BQ131" t="s">
        <v>28</v>
      </c>
      <c r="BR131" t="s">
        <v>2648</v>
      </c>
      <c r="BS131" t="s">
        <v>28</v>
      </c>
      <c r="BT131" t="s">
        <v>28</v>
      </c>
      <c r="BU131" t="s">
        <v>2261</v>
      </c>
      <c r="BV131" t="s">
        <v>3487</v>
      </c>
      <c r="BW131" t="str">
        <f>HYPERLINK("https%3A%2F%2Fwww.webofscience.com%2Fwos%2Fwoscc%2Ffull-record%2FWOS:000419756200009","View Full Record in Web of Science")</f>
        <v>View Full Record in Web of Science</v>
      </c>
    </row>
    <row r="132" spans="1:75" x14ac:dyDescent="0.35">
      <c r="A132">
        <f>COUNTIF(Scopus!$E$2:$E$128,"="&amp;Tabelle6[[#This Row],[Article Title]])</f>
        <v>0</v>
      </c>
      <c r="B132">
        <v>3</v>
      </c>
      <c r="C132" s="1" t="s">
        <v>2149</v>
      </c>
      <c r="D132" t="s">
        <v>1321</v>
      </c>
      <c r="E132" t="s">
        <v>1576</v>
      </c>
      <c r="F132">
        <v>2019</v>
      </c>
      <c r="G132" t="s">
        <v>1578</v>
      </c>
      <c r="H132" t="s">
        <v>28</v>
      </c>
      <c r="I132" t="s">
        <v>28</v>
      </c>
      <c r="J132" t="s">
        <v>28</v>
      </c>
      <c r="K132" t="s">
        <v>1577</v>
      </c>
      <c r="L132" t="s">
        <v>28</v>
      </c>
      <c r="M132" t="s">
        <v>28</v>
      </c>
      <c r="N132" t="s">
        <v>1399</v>
      </c>
      <c r="O132" t="s">
        <v>28</v>
      </c>
      <c r="P132" t="s">
        <v>28</v>
      </c>
      <c r="Q132" t="s">
        <v>2242</v>
      </c>
      <c r="R132" t="s">
        <v>34</v>
      </c>
      <c r="S132" t="s">
        <v>28</v>
      </c>
      <c r="T132" t="s">
        <v>28</v>
      </c>
      <c r="U132" t="s">
        <v>28</v>
      </c>
      <c r="V132" t="s">
        <v>28</v>
      </c>
      <c r="W132" t="s">
        <v>28</v>
      </c>
      <c r="X132" t="s">
        <v>2993</v>
      </c>
      <c r="Y132" t="s">
        <v>28</v>
      </c>
      <c r="Z132" t="s">
        <v>2994</v>
      </c>
      <c r="AA132" t="s">
        <v>2995</v>
      </c>
      <c r="AB132" t="s">
        <v>28</v>
      </c>
      <c r="AC132" t="s">
        <v>2996</v>
      </c>
      <c r="AD132" t="s">
        <v>2997</v>
      </c>
      <c r="AE132" t="s">
        <v>2998</v>
      </c>
      <c r="AF132" t="s">
        <v>2999</v>
      </c>
      <c r="AG132" t="s">
        <v>3000</v>
      </c>
      <c r="AH132" t="s">
        <v>3001</v>
      </c>
      <c r="AI132" t="s">
        <v>3002</v>
      </c>
      <c r="AJ132" t="s">
        <v>28</v>
      </c>
      <c r="AK132">
        <v>42</v>
      </c>
      <c r="AL132">
        <v>8</v>
      </c>
      <c r="AM132">
        <v>9</v>
      </c>
      <c r="AN132">
        <v>2</v>
      </c>
      <c r="AO132">
        <v>7</v>
      </c>
      <c r="AP132" t="s">
        <v>2409</v>
      </c>
      <c r="AQ132" t="s">
        <v>2274</v>
      </c>
      <c r="AR132" t="s">
        <v>2410</v>
      </c>
      <c r="AS132" t="s">
        <v>28</v>
      </c>
      <c r="AT132" t="s">
        <v>1400</v>
      </c>
      <c r="AU132" t="s">
        <v>28</v>
      </c>
      <c r="AV132" t="s">
        <v>2276</v>
      </c>
      <c r="AW132" t="s">
        <v>2277</v>
      </c>
      <c r="AX132" t="s">
        <v>1326</v>
      </c>
      <c r="AY132">
        <v>11</v>
      </c>
      <c r="AZ132">
        <v>2</v>
      </c>
      <c r="BA132" t="s">
        <v>28</v>
      </c>
      <c r="BB132" t="s">
        <v>28</v>
      </c>
      <c r="BC132" t="s">
        <v>28</v>
      </c>
      <c r="BD132" t="s">
        <v>28</v>
      </c>
      <c r="BE132" t="s">
        <v>28</v>
      </c>
      <c r="BF132" t="s">
        <v>28</v>
      </c>
      <c r="BG132">
        <v>254</v>
      </c>
      <c r="BH132" t="s">
        <v>402</v>
      </c>
      <c r="BI132" t="str">
        <f>HYPERLINK("http://dx.doi.org/10.3390/w11020254","http://dx.doi.org/10.3390/w11020254")</f>
        <v>http://dx.doi.org/10.3390/w11020254</v>
      </c>
      <c r="BJ132" t="s">
        <v>28</v>
      </c>
      <c r="BK132" t="s">
        <v>28</v>
      </c>
      <c r="BL132">
        <v>30</v>
      </c>
      <c r="BM132" t="s">
        <v>2278</v>
      </c>
      <c r="BN132" t="s">
        <v>2314</v>
      </c>
      <c r="BO132" t="s">
        <v>2279</v>
      </c>
      <c r="BP132" t="s">
        <v>3003</v>
      </c>
      <c r="BQ132" t="s">
        <v>28</v>
      </c>
      <c r="BR132" t="s">
        <v>2648</v>
      </c>
      <c r="BS132" t="s">
        <v>28</v>
      </c>
      <c r="BT132" t="s">
        <v>28</v>
      </c>
      <c r="BU132" t="s">
        <v>2261</v>
      </c>
      <c r="BV132" t="s">
        <v>1579</v>
      </c>
      <c r="BW132" t="str">
        <f>HYPERLINK("https%3A%2F%2Fwww.webofscience.com%2Fwos%2Fwoscc%2Ffull-record%2FWOS:000460899600073","View Full Record in Web of Science")</f>
        <v>View Full Record in Web of Science</v>
      </c>
    </row>
  </sheetData>
  <pageMargins left="0.7" right="0.7" top="0.78740157499999996" bottom="0.78740157499999996"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AD922-316B-42AD-A17E-D3820B6E83A0}">
  <dimension ref="A1:F38"/>
  <sheetViews>
    <sheetView zoomScale="93" zoomScaleNormal="93" workbookViewId="0">
      <selection activeCell="C8" sqref="C8"/>
    </sheetView>
  </sheetViews>
  <sheetFormatPr baseColWidth="10" defaultRowHeight="14.5" x14ac:dyDescent="0.35"/>
  <cols>
    <col min="1" max="1" width="5.1796875" customWidth="1"/>
    <col min="2" max="2" width="37.7265625" bestFit="1" customWidth="1"/>
    <col min="3" max="3" width="12.1796875" customWidth="1"/>
    <col min="4" max="4" width="31.453125" customWidth="1"/>
    <col min="5" max="5" width="8.54296875" bestFit="1" customWidth="1"/>
    <col min="6" max="6" width="129" bestFit="1" customWidth="1"/>
  </cols>
  <sheetData>
    <row r="1" spans="1:6" ht="15" thickBot="1" x14ac:dyDescent="0.4">
      <c r="A1" s="2" t="s">
        <v>1258</v>
      </c>
      <c r="B1" s="3" t="s">
        <v>1257</v>
      </c>
      <c r="C1" s="3" t="s">
        <v>21</v>
      </c>
      <c r="D1" s="3" t="s">
        <v>0</v>
      </c>
      <c r="E1" s="3" t="s">
        <v>3</v>
      </c>
      <c r="F1" s="3" t="s">
        <v>2</v>
      </c>
    </row>
    <row r="2" spans="1:6" ht="15" thickTop="1" x14ac:dyDescent="0.35">
      <c r="A2">
        <v>6</v>
      </c>
      <c r="B2" t="s">
        <v>4543</v>
      </c>
      <c r="C2" t="s">
        <v>2208</v>
      </c>
      <c r="D2" t="s">
        <v>2159</v>
      </c>
      <c r="E2">
        <v>2017</v>
      </c>
      <c r="F2" t="s">
        <v>2161</v>
      </c>
    </row>
    <row r="3" spans="1:6" ht="18" customHeight="1" x14ac:dyDescent="0.35">
      <c r="A3">
        <v>0</v>
      </c>
      <c r="B3" t="s">
        <v>4532</v>
      </c>
      <c r="C3" t="s">
        <v>2208</v>
      </c>
      <c r="D3" t="s">
        <v>2164</v>
      </c>
      <c r="E3">
        <v>2016</v>
      </c>
      <c r="F3" t="s">
        <v>2162</v>
      </c>
    </row>
    <row r="4" spans="1:6" ht="20.5" customHeight="1" x14ac:dyDescent="0.35">
      <c r="A4">
        <v>0</v>
      </c>
      <c r="B4" t="s">
        <v>4532</v>
      </c>
      <c r="C4" t="s">
        <v>2208</v>
      </c>
      <c r="D4" t="s">
        <v>2160</v>
      </c>
      <c r="E4">
        <v>2005</v>
      </c>
      <c r="F4" t="s">
        <v>2163</v>
      </c>
    </row>
    <row r="5" spans="1:6" ht="18.5" customHeight="1" x14ac:dyDescent="0.35">
      <c r="A5">
        <v>7</v>
      </c>
      <c r="B5" s="4" t="s">
        <v>4541</v>
      </c>
      <c r="C5" t="s">
        <v>2165</v>
      </c>
      <c r="D5" t="s">
        <v>2169</v>
      </c>
      <c r="E5">
        <v>2014</v>
      </c>
      <c r="F5" t="s">
        <v>2168</v>
      </c>
    </row>
    <row r="6" spans="1:6" ht="15.5" customHeight="1" x14ac:dyDescent="0.35">
      <c r="A6">
        <v>0</v>
      </c>
      <c r="B6" t="s">
        <v>4532</v>
      </c>
      <c r="C6" t="s">
        <v>2165</v>
      </c>
      <c r="D6" t="s">
        <v>2167</v>
      </c>
      <c r="E6">
        <v>2005</v>
      </c>
      <c r="F6" t="s">
        <v>2166</v>
      </c>
    </row>
    <row r="7" spans="1:6" x14ac:dyDescent="0.35">
      <c r="A7">
        <v>0</v>
      </c>
      <c r="B7" t="s">
        <v>4532</v>
      </c>
      <c r="C7" t="s">
        <v>2170</v>
      </c>
      <c r="D7" t="s">
        <v>2171</v>
      </c>
      <c r="E7">
        <v>2014</v>
      </c>
      <c r="F7" t="s">
        <v>4425</v>
      </c>
    </row>
    <row r="8" spans="1:6" x14ac:dyDescent="0.35">
      <c r="A8">
        <v>4</v>
      </c>
      <c r="B8" s="1" t="s">
        <v>4535</v>
      </c>
      <c r="C8" t="s">
        <v>2181</v>
      </c>
      <c r="D8" t="s">
        <v>2177</v>
      </c>
      <c r="E8">
        <v>2010</v>
      </c>
      <c r="F8" t="s">
        <v>2176</v>
      </c>
    </row>
    <row r="9" spans="1:6" ht="19.5" customHeight="1" x14ac:dyDescent="0.35">
      <c r="A9">
        <v>0</v>
      </c>
      <c r="B9" t="s">
        <v>4532</v>
      </c>
      <c r="C9" t="s">
        <v>2181</v>
      </c>
      <c r="D9" t="s">
        <v>2179</v>
      </c>
      <c r="E9">
        <v>2010</v>
      </c>
      <c r="F9" t="s">
        <v>2178</v>
      </c>
    </row>
    <row r="10" spans="1:6" ht="17.5" customHeight="1" x14ac:dyDescent="0.35">
      <c r="A10">
        <v>0</v>
      </c>
      <c r="B10" t="s">
        <v>4532</v>
      </c>
      <c r="C10" t="s">
        <v>2181</v>
      </c>
      <c r="D10" t="s">
        <v>2179</v>
      </c>
      <c r="E10">
        <v>2011</v>
      </c>
      <c r="F10" t="s">
        <v>2180</v>
      </c>
    </row>
    <row r="11" spans="1:6" x14ac:dyDescent="0.35">
      <c r="A11">
        <v>4</v>
      </c>
      <c r="B11" s="1" t="s">
        <v>4535</v>
      </c>
      <c r="C11" t="s">
        <v>2184</v>
      </c>
      <c r="D11" t="s">
        <v>2183</v>
      </c>
      <c r="E11">
        <v>2000</v>
      </c>
      <c r="F11" t="s">
        <v>2182</v>
      </c>
    </row>
    <row r="12" spans="1:6" x14ac:dyDescent="0.35">
      <c r="A12">
        <v>5</v>
      </c>
      <c r="B12" t="s">
        <v>4537</v>
      </c>
      <c r="C12" t="s">
        <v>2184</v>
      </c>
      <c r="D12" t="s">
        <v>2186</v>
      </c>
      <c r="E12">
        <v>2001</v>
      </c>
      <c r="F12" t="s">
        <v>2185</v>
      </c>
    </row>
    <row r="13" spans="1:6" x14ac:dyDescent="0.35">
      <c r="A13">
        <v>5</v>
      </c>
      <c r="B13" t="s">
        <v>2229</v>
      </c>
      <c r="C13" t="s">
        <v>2188</v>
      </c>
      <c r="D13" t="s">
        <v>2189</v>
      </c>
      <c r="E13">
        <v>2005</v>
      </c>
      <c r="F13" t="s">
        <v>2187</v>
      </c>
    </row>
    <row r="14" spans="1:6" x14ac:dyDescent="0.35">
      <c r="A14">
        <v>5</v>
      </c>
      <c r="B14" t="s">
        <v>4537</v>
      </c>
      <c r="C14" t="s">
        <v>2188</v>
      </c>
      <c r="D14" t="s">
        <v>2190</v>
      </c>
      <c r="E14">
        <v>2003</v>
      </c>
      <c r="F14" t="s">
        <v>2191</v>
      </c>
    </row>
    <row r="15" spans="1:6" x14ac:dyDescent="0.35">
      <c r="A15">
        <v>4</v>
      </c>
      <c r="B15" s="1" t="s">
        <v>4535</v>
      </c>
      <c r="C15" t="s">
        <v>2197</v>
      </c>
      <c r="D15" t="s">
        <v>2195</v>
      </c>
      <c r="E15">
        <v>2001</v>
      </c>
      <c r="F15" t="s">
        <v>2196</v>
      </c>
    </row>
    <row r="16" spans="1:6" x14ac:dyDescent="0.35">
      <c r="A16">
        <v>10</v>
      </c>
      <c r="B16" t="s">
        <v>4328</v>
      </c>
      <c r="C16" t="s">
        <v>2197</v>
      </c>
      <c r="D16" t="s">
        <v>2199</v>
      </c>
      <c r="E16">
        <v>2016</v>
      </c>
      <c r="F16" t="s">
        <v>2198</v>
      </c>
    </row>
    <row r="17" spans="1:6" ht="22" customHeight="1" x14ac:dyDescent="0.35">
      <c r="A17">
        <v>0</v>
      </c>
      <c r="B17" t="s">
        <v>4532</v>
      </c>
      <c r="C17" t="s">
        <v>2203</v>
      </c>
      <c r="D17" t="s">
        <v>4319</v>
      </c>
      <c r="E17">
        <v>2018</v>
      </c>
      <c r="F17" s="5" t="s">
        <v>4320</v>
      </c>
    </row>
    <row r="18" spans="1:6" x14ac:dyDescent="0.35">
      <c r="A18">
        <v>4</v>
      </c>
      <c r="B18" s="1" t="s">
        <v>4535</v>
      </c>
      <c r="C18" t="s">
        <v>2203</v>
      </c>
      <c r="D18" t="s">
        <v>2202</v>
      </c>
      <c r="E18">
        <v>2016</v>
      </c>
      <c r="F18" t="s">
        <v>2201</v>
      </c>
    </row>
    <row r="19" spans="1:6" x14ac:dyDescent="0.35">
      <c r="A19">
        <v>6</v>
      </c>
      <c r="B19" t="s">
        <v>4544</v>
      </c>
      <c r="C19" t="s">
        <v>2204</v>
      </c>
      <c r="D19" t="s">
        <v>2205</v>
      </c>
      <c r="E19">
        <v>2019</v>
      </c>
      <c r="F19" t="s">
        <v>2206</v>
      </c>
    </row>
    <row r="20" spans="1:6" x14ac:dyDescent="0.35">
      <c r="A20">
        <v>10</v>
      </c>
      <c r="B20" t="s">
        <v>4328</v>
      </c>
      <c r="C20" t="s">
        <v>2211</v>
      </c>
      <c r="D20" t="s">
        <v>2212</v>
      </c>
      <c r="E20">
        <v>2004</v>
      </c>
      <c r="F20" t="s">
        <v>2210</v>
      </c>
    </row>
    <row r="21" spans="1:6" ht="19" customHeight="1" x14ac:dyDescent="0.35">
      <c r="A21">
        <v>0</v>
      </c>
      <c r="B21" t="s">
        <v>4532</v>
      </c>
      <c r="C21" t="s">
        <v>2217</v>
      </c>
      <c r="D21" t="s">
        <v>2219</v>
      </c>
      <c r="E21">
        <v>2018</v>
      </c>
      <c r="F21" t="s">
        <v>2218</v>
      </c>
    </row>
    <row r="22" spans="1:6" x14ac:dyDescent="0.35">
      <c r="A22">
        <v>4</v>
      </c>
      <c r="B22" s="1" t="s">
        <v>4535</v>
      </c>
      <c r="C22" t="s">
        <v>2217</v>
      </c>
      <c r="D22" t="s">
        <v>2220</v>
      </c>
      <c r="E22">
        <v>2018</v>
      </c>
      <c r="F22" t="s">
        <v>2221</v>
      </c>
    </row>
    <row r="23" spans="1:6" x14ac:dyDescent="0.35">
      <c r="A23">
        <v>4</v>
      </c>
      <c r="B23" s="1" t="s">
        <v>4535</v>
      </c>
      <c r="C23" t="s">
        <v>2217</v>
      </c>
      <c r="D23" t="s">
        <v>2223</v>
      </c>
      <c r="E23">
        <v>2019</v>
      </c>
      <c r="F23" t="s">
        <v>2222</v>
      </c>
    </row>
    <row r="24" spans="1:6" ht="22" customHeight="1" x14ac:dyDescent="0.35">
      <c r="A24">
        <v>0</v>
      </c>
      <c r="B24" t="s">
        <v>4532</v>
      </c>
      <c r="C24" t="s">
        <v>2217</v>
      </c>
      <c r="D24" t="s">
        <v>2224</v>
      </c>
      <c r="E24">
        <v>2016</v>
      </c>
      <c r="F24" t="s">
        <v>2225</v>
      </c>
    </row>
    <row r="25" spans="1:6" ht="20" customHeight="1" x14ac:dyDescent="0.35">
      <c r="A25">
        <v>0</v>
      </c>
      <c r="B25" t="s">
        <v>4532</v>
      </c>
      <c r="C25" t="s">
        <v>2228</v>
      </c>
      <c r="D25" t="s">
        <v>2227</v>
      </c>
      <c r="E25">
        <v>2003</v>
      </c>
      <c r="F25" t="s">
        <v>2226</v>
      </c>
    </row>
    <row r="26" spans="1:6" ht="18.5" customHeight="1" x14ac:dyDescent="0.35">
      <c r="A26">
        <v>6</v>
      </c>
      <c r="B26" t="s">
        <v>4544</v>
      </c>
      <c r="C26" t="s">
        <v>2231</v>
      </c>
      <c r="D26" t="s">
        <v>2230</v>
      </c>
      <c r="E26">
        <v>1999</v>
      </c>
      <c r="F26" t="s">
        <v>2234</v>
      </c>
    </row>
    <row r="27" spans="1:6" x14ac:dyDescent="0.35">
      <c r="A27">
        <v>6</v>
      </c>
      <c r="B27" t="s">
        <v>4544</v>
      </c>
      <c r="C27" t="s">
        <v>2231</v>
      </c>
      <c r="D27" t="s">
        <v>2230</v>
      </c>
      <c r="E27">
        <v>2005</v>
      </c>
      <c r="F27" t="s">
        <v>2233</v>
      </c>
    </row>
    <row r="28" spans="1:6" x14ac:dyDescent="0.35">
      <c r="A28">
        <v>4</v>
      </c>
      <c r="B28" s="1" t="s">
        <v>4535</v>
      </c>
      <c r="C28" t="s">
        <v>2231</v>
      </c>
      <c r="D28" t="s">
        <v>2230</v>
      </c>
      <c r="E28">
        <v>2001</v>
      </c>
      <c r="F28" t="s">
        <v>2232</v>
      </c>
    </row>
    <row r="29" spans="1:6" x14ac:dyDescent="0.35">
      <c r="A29">
        <v>4</v>
      </c>
      <c r="B29" s="1" t="s">
        <v>4535</v>
      </c>
      <c r="C29" t="s">
        <v>2235</v>
      </c>
      <c r="D29" t="s">
        <v>2236</v>
      </c>
      <c r="E29">
        <v>2008</v>
      </c>
      <c r="F29" t="s">
        <v>2237</v>
      </c>
    </row>
    <row r="30" spans="1:6" x14ac:dyDescent="0.35">
      <c r="A30">
        <v>5</v>
      </c>
      <c r="B30" t="s">
        <v>4537</v>
      </c>
      <c r="C30" t="s">
        <v>2165</v>
      </c>
      <c r="D30" t="s">
        <v>4302</v>
      </c>
      <c r="E30">
        <v>2016</v>
      </c>
      <c r="F30" t="s">
        <v>4301</v>
      </c>
    </row>
    <row r="31" spans="1:6" ht="17" customHeight="1" x14ac:dyDescent="0.35">
      <c r="A31">
        <v>0</v>
      </c>
      <c r="B31" t="s">
        <v>4532</v>
      </c>
      <c r="C31" t="s">
        <v>2165</v>
      </c>
      <c r="D31" t="s">
        <v>4303</v>
      </c>
      <c r="E31">
        <v>2015</v>
      </c>
      <c r="F31" t="s">
        <v>4304</v>
      </c>
    </row>
    <row r="32" spans="1:6" x14ac:dyDescent="0.35">
      <c r="A32">
        <v>0</v>
      </c>
      <c r="B32" t="s">
        <v>4532</v>
      </c>
      <c r="C32" t="s">
        <v>2165</v>
      </c>
      <c r="D32" t="s">
        <v>4306</v>
      </c>
      <c r="E32">
        <v>2015</v>
      </c>
      <c r="F32" t="s">
        <v>4305</v>
      </c>
    </row>
    <row r="33" spans="1:6" ht="21.5" customHeight="1" x14ac:dyDescent="0.35">
      <c r="A33">
        <v>0</v>
      </c>
      <c r="B33" t="s">
        <v>4532</v>
      </c>
      <c r="C33" t="s">
        <v>2165</v>
      </c>
      <c r="D33" t="s">
        <v>4306</v>
      </c>
      <c r="E33">
        <v>2012</v>
      </c>
      <c r="F33" t="s">
        <v>4307</v>
      </c>
    </row>
    <row r="34" spans="1:6" ht="29" x14ac:dyDescent="0.35">
      <c r="A34">
        <v>7</v>
      </c>
      <c r="B34" s="4" t="s">
        <v>4541</v>
      </c>
      <c r="C34" t="s">
        <v>2165</v>
      </c>
      <c r="D34" t="s">
        <v>4308</v>
      </c>
      <c r="E34">
        <v>2009</v>
      </c>
      <c r="F34" t="s">
        <v>4309</v>
      </c>
    </row>
    <row r="35" spans="1:6" ht="22" customHeight="1" x14ac:dyDescent="0.35">
      <c r="A35">
        <v>0</v>
      </c>
      <c r="B35" t="s">
        <v>4532</v>
      </c>
      <c r="C35" t="s">
        <v>4310</v>
      </c>
      <c r="D35" t="s">
        <v>4312</v>
      </c>
      <c r="E35">
        <v>2007</v>
      </c>
      <c r="F35" t="s">
        <v>4311</v>
      </c>
    </row>
    <row r="36" spans="1:6" ht="17.5" customHeight="1" x14ac:dyDescent="0.35">
      <c r="A36">
        <v>0</v>
      </c>
      <c r="B36" t="s">
        <v>4532</v>
      </c>
      <c r="C36" t="s">
        <v>4310</v>
      </c>
      <c r="D36" t="s">
        <v>4313</v>
      </c>
      <c r="E36">
        <v>2008</v>
      </c>
      <c r="F36" t="s">
        <v>4314</v>
      </c>
    </row>
    <row r="37" spans="1:6" ht="28" customHeight="1" x14ac:dyDescent="0.35">
      <c r="A37">
        <v>0</v>
      </c>
      <c r="B37" t="s">
        <v>4532</v>
      </c>
      <c r="C37" t="s">
        <v>4316</v>
      </c>
      <c r="D37" t="s">
        <v>4317</v>
      </c>
      <c r="E37">
        <v>2018</v>
      </c>
      <c r="F37" t="s">
        <v>4318</v>
      </c>
    </row>
    <row r="38" spans="1:6" ht="32.5" customHeight="1" x14ac:dyDescent="0.35">
      <c r="A38">
        <v>0</v>
      </c>
      <c r="B38" t="s">
        <v>4532</v>
      </c>
      <c r="C38" s="6" t="s">
        <v>2208</v>
      </c>
      <c r="D38" t="s">
        <v>4323</v>
      </c>
      <c r="E38">
        <v>2018</v>
      </c>
      <c r="F38" t="s">
        <v>1617</v>
      </c>
    </row>
  </sheetData>
  <pageMargins left="0.7" right="0.7" top="0.78740157499999996" bottom="0.78740157499999996"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4E7C4-A42F-42AE-8A31-4077D40E1123}">
  <dimension ref="A1:F17"/>
  <sheetViews>
    <sheetView zoomScale="115" zoomScaleNormal="115" workbookViewId="0">
      <selection activeCell="B16" sqref="A16:B16"/>
    </sheetView>
  </sheetViews>
  <sheetFormatPr baseColWidth="10" defaultRowHeight="14.5" x14ac:dyDescent="0.35"/>
  <cols>
    <col min="1" max="1" width="17.26953125" bestFit="1" customWidth="1"/>
    <col min="2" max="2" width="28.36328125" bestFit="1" customWidth="1"/>
    <col min="3" max="3" width="20.36328125" customWidth="1"/>
    <col min="4" max="4" width="27.453125" customWidth="1"/>
    <col min="5" max="5" width="26.08984375" customWidth="1"/>
    <col min="6" max="6" width="24" customWidth="1"/>
  </cols>
  <sheetData>
    <row r="1" spans="1:6" x14ac:dyDescent="0.35">
      <c r="A1" t="s">
        <v>2152</v>
      </c>
      <c r="B1" t="s">
        <v>1257</v>
      </c>
      <c r="C1" t="s">
        <v>2153</v>
      </c>
      <c r="D1" t="s">
        <v>2154</v>
      </c>
      <c r="E1" t="s">
        <v>2155</v>
      </c>
      <c r="F1" t="s">
        <v>2156</v>
      </c>
    </row>
    <row r="2" spans="1:6" x14ac:dyDescent="0.35">
      <c r="A2" t="s">
        <v>2151</v>
      </c>
      <c r="B2" t="s">
        <v>4545</v>
      </c>
      <c r="C2">
        <f>COUNTIF(Scopus!A:A,"&gt;-1")</f>
        <v>130</v>
      </c>
      <c r="D2">
        <f>COUNTIF('Web of Science'!B:B,"&gt;-1")</f>
        <v>131</v>
      </c>
      <c r="E2">
        <f>COUNTIF('Other Sources'!A:A,"&gt;-1")</f>
        <v>37</v>
      </c>
      <c r="F2">
        <f>SUM(C2:E2)</f>
        <v>298</v>
      </c>
    </row>
    <row r="3" spans="1:6" x14ac:dyDescent="0.35">
      <c r="A3">
        <v>1</v>
      </c>
      <c r="B3" t="s">
        <v>4546</v>
      </c>
      <c r="C3">
        <f>COUNTIF(Scopus!A:A,"="&amp;A3)</f>
        <v>1</v>
      </c>
      <c r="D3">
        <f>COUNTIF('Web of Science'!B:B,"="&amp;A3)</f>
        <v>79</v>
      </c>
      <c r="E3">
        <f>COUNTIF('Other Sources'!A:A,"="&amp;A3)</f>
        <v>0</v>
      </c>
      <c r="F3">
        <f t="shared" ref="F3:F17" si="0">SUM(C3:E3)</f>
        <v>80</v>
      </c>
    </row>
    <row r="4" spans="1:6" x14ac:dyDescent="0.35">
      <c r="A4">
        <v>1.5</v>
      </c>
      <c r="B4" t="s">
        <v>4547</v>
      </c>
      <c r="C4">
        <f>COUNTIF(Scopus!A:A,"="&amp;A4)</f>
        <v>1</v>
      </c>
      <c r="D4">
        <f>COUNTIF('Web of Science'!B:B,"="&amp;A4)</f>
        <v>1</v>
      </c>
      <c r="E4">
        <f>COUNTIF('Other Sources'!A:A,"="&amp;A4)</f>
        <v>0</v>
      </c>
      <c r="F4">
        <f t="shared" si="0"/>
        <v>2</v>
      </c>
    </row>
    <row r="5" spans="1:6" x14ac:dyDescent="0.35">
      <c r="A5">
        <v>2</v>
      </c>
      <c r="B5" t="s">
        <v>4548</v>
      </c>
      <c r="C5">
        <f>COUNTIF(Scopus!A:A,"="&amp;A5)</f>
        <v>9</v>
      </c>
      <c r="D5">
        <f>COUNTIF('Web of Science'!B:B,"="&amp;A5)</f>
        <v>0</v>
      </c>
      <c r="E5">
        <f>COUNTIF('Other Sources'!A:A,"="&amp;A5)</f>
        <v>0</v>
      </c>
      <c r="F5">
        <f t="shared" si="0"/>
        <v>9</v>
      </c>
    </row>
    <row r="6" spans="1:6" x14ac:dyDescent="0.35">
      <c r="B6" t="s">
        <v>4549</v>
      </c>
      <c r="C6">
        <f>C2-SUM(C3:C5)</f>
        <v>119</v>
      </c>
      <c r="D6">
        <f>D2-SUM(D3:D5)</f>
        <v>51</v>
      </c>
      <c r="E6">
        <f>E2-SUM(E3:E5)</f>
        <v>37</v>
      </c>
      <c r="F6">
        <f t="shared" si="0"/>
        <v>207</v>
      </c>
    </row>
    <row r="7" spans="1:6" x14ac:dyDescent="0.35">
      <c r="A7">
        <v>3</v>
      </c>
      <c r="B7" t="s">
        <v>4550</v>
      </c>
      <c r="C7">
        <f>COUNTIF(Scopus!A:A,"="&amp;A7)</f>
        <v>45</v>
      </c>
      <c r="D7">
        <f>COUNTIF('Web of Science'!B:B,"="&amp;A7)</f>
        <v>40</v>
      </c>
      <c r="E7">
        <f>COUNTIF('Other Sources'!A:A,"="&amp;A7)</f>
        <v>0</v>
      </c>
      <c r="F7">
        <f t="shared" si="0"/>
        <v>85</v>
      </c>
    </row>
    <row r="8" spans="1:6" x14ac:dyDescent="0.35">
      <c r="B8" t="s">
        <v>4551</v>
      </c>
      <c r="C8">
        <f>C6-C7</f>
        <v>74</v>
      </c>
      <c r="D8">
        <f>D6-D7</f>
        <v>11</v>
      </c>
      <c r="E8">
        <f>E6-E7</f>
        <v>37</v>
      </c>
      <c r="F8">
        <f t="shared" si="0"/>
        <v>122</v>
      </c>
    </row>
    <row r="9" spans="1:6" x14ac:dyDescent="0.35">
      <c r="A9">
        <v>4</v>
      </c>
      <c r="B9" t="s">
        <v>4552</v>
      </c>
      <c r="C9">
        <f>COUNTIF(Scopus!A:A,"="&amp;A9)</f>
        <v>33</v>
      </c>
      <c r="D9">
        <f>COUNTIF('Web of Science'!B:B,"="&amp;A9)</f>
        <v>3</v>
      </c>
      <c r="E9">
        <f>COUNTIF('Other Sources'!A:A,"="&amp;A9)</f>
        <v>8</v>
      </c>
      <c r="F9">
        <f t="shared" si="0"/>
        <v>44</v>
      </c>
    </row>
    <row r="10" spans="1:6" x14ac:dyDescent="0.35">
      <c r="B10" t="s">
        <v>4553</v>
      </c>
      <c r="C10">
        <f>C8-C9</f>
        <v>41</v>
      </c>
      <c r="D10">
        <f>D8-D9</f>
        <v>8</v>
      </c>
      <c r="E10">
        <f>E8-E9</f>
        <v>29</v>
      </c>
      <c r="F10">
        <f t="shared" si="0"/>
        <v>78</v>
      </c>
    </row>
    <row r="11" spans="1:6" x14ac:dyDescent="0.35">
      <c r="A11">
        <v>5</v>
      </c>
      <c r="B11" s="1" t="s">
        <v>4536</v>
      </c>
      <c r="C11">
        <f>COUNTIF(Scopus!A:A,"="&amp;A11)</f>
        <v>3</v>
      </c>
      <c r="D11">
        <f>COUNTIF('Web of Science'!B:B,"="&amp;A11)</f>
        <v>1</v>
      </c>
      <c r="E11">
        <f>COUNTIF('Other Sources'!A:A,"="&amp;A11)</f>
        <v>4</v>
      </c>
      <c r="F11">
        <f t="shared" si="0"/>
        <v>8</v>
      </c>
    </row>
    <row r="12" spans="1:6" x14ac:dyDescent="0.35">
      <c r="A12">
        <v>6</v>
      </c>
      <c r="B12" s="1" t="s">
        <v>4544</v>
      </c>
      <c r="C12">
        <f>COUNTIF(Scopus!A:A,"="&amp;A12)</f>
        <v>6</v>
      </c>
      <c r="D12">
        <f>COUNTIF('Web of Science'!B:B,"="&amp;A12)</f>
        <v>2</v>
      </c>
      <c r="E12">
        <f>COUNTIF('Other Sources'!A:A,"="&amp;A12)</f>
        <v>4</v>
      </c>
      <c r="F12">
        <f t="shared" si="0"/>
        <v>12</v>
      </c>
    </row>
    <row r="13" spans="1:6" ht="29" x14ac:dyDescent="0.35">
      <c r="A13">
        <v>7</v>
      </c>
      <c r="B13" s="4" t="s">
        <v>4541</v>
      </c>
      <c r="C13">
        <f>COUNTIF(Scopus!A:A,"="&amp;A13)</f>
        <v>1</v>
      </c>
      <c r="D13">
        <f>COUNTIF('Web of Science'!B:B,"="&amp;A13)</f>
        <v>0</v>
      </c>
      <c r="E13">
        <f>COUNTIF('Other Sources'!A:A,"="&amp;A13)</f>
        <v>2</v>
      </c>
      <c r="F13">
        <f t="shared" si="0"/>
        <v>3</v>
      </c>
    </row>
    <row r="14" spans="1:6" x14ac:dyDescent="0.35">
      <c r="A14">
        <v>8</v>
      </c>
      <c r="B14" t="s">
        <v>2194</v>
      </c>
      <c r="C14">
        <f>COUNTIF(Scopus!A:A,"="&amp;A14)</f>
        <v>1</v>
      </c>
      <c r="D14">
        <f>COUNTIF('Web of Science'!B:B,"="&amp;A14)</f>
        <v>0</v>
      </c>
      <c r="E14">
        <f>COUNTIF('Other Sources'!A:A,"="&amp;A14)</f>
        <v>0</v>
      </c>
      <c r="F14">
        <f t="shared" si="0"/>
        <v>1</v>
      </c>
    </row>
    <row r="15" spans="1:6" x14ac:dyDescent="0.35">
      <c r="A15">
        <v>9</v>
      </c>
      <c r="B15" t="s">
        <v>4315</v>
      </c>
      <c r="C15">
        <f>COUNTIF(Scopus!A:A,"="&amp;A15)</f>
        <v>1</v>
      </c>
      <c r="D15">
        <f>COUNTIF('Web of Science'!B:B,"="&amp;A15)</f>
        <v>0</v>
      </c>
      <c r="E15">
        <f>COUNTIF('Other Sources'!A:A,"="&amp;A15)</f>
        <v>0</v>
      </c>
      <c r="F15">
        <f t="shared" si="0"/>
        <v>1</v>
      </c>
    </row>
    <row r="16" spans="1:6" x14ac:dyDescent="0.35">
      <c r="A16">
        <v>10</v>
      </c>
      <c r="B16" t="s">
        <v>4328</v>
      </c>
      <c r="C16">
        <f>COUNTIF(Scopus!A:A,"="&amp;A16)</f>
        <v>0</v>
      </c>
      <c r="D16">
        <f>COUNTIF('Web of Science'!B:B,"="&amp;A16)</f>
        <v>0</v>
      </c>
      <c r="E16">
        <f>COUNTIF('Other Sources'!A:A,"="&amp;A16)</f>
        <v>2</v>
      </c>
      <c r="F16">
        <f>SUM(C16:E16)</f>
        <v>2</v>
      </c>
    </row>
    <row r="17" spans="1:6" x14ac:dyDescent="0.35">
      <c r="A17">
        <v>0</v>
      </c>
      <c r="B17" t="s">
        <v>2150</v>
      </c>
      <c r="C17">
        <f>COUNTIF(Scopus!A:A,"="&amp;A17)</f>
        <v>29</v>
      </c>
      <c r="D17">
        <f>COUNTIF('Web of Science'!B:B,"="&amp;A17)</f>
        <v>5</v>
      </c>
      <c r="E17">
        <f>COUNTIF('Other Sources'!A:A,"="&amp;A17)</f>
        <v>17</v>
      </c>
      <c r="F17">
        <f t="shared" si="0"/>
        <v>51</v>
      </c>
    </row>
  </sheetData>
  <pageMargins left="0.7" right="0.7" top="0.78740157499999996" bottom="0.78740157499999996"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F6A54-CC6A-490E-A100-B942C76443E0}">
  <dimension ref="A1:I52"/>
  <sheetViews>
    <sheetView zoomScale="40" zoomScaleNormal="40" workbookViewId="0">
      <selection activeCell="F55" sqref="F55"/>
    </sheetView>
  </sheetViews>
  <sheetFormatPr baseColWidth="10" defaultRowHeight="14.5" x14ac:dyDescent="0.35"/>
  <cols>
    <col min="2" max="2" width="19.6328125" customWidth="1"/>
    <col min="3" max="3" width="30.6328125" customWidth="1"/>
    <col min="5" max="5" width="34.453125" customWidth="1"/>
    <col min="6" max="6" width="55" customWidth="1"/>
    <col min="7" max="7" width="30.7265625" customWidth="1"/>
    <col min="8" max="8" width="41.26953125" customWidth="1"/>
    <col min="9" max="9" width="32.26953125" customWidth="1"/>
  </cols>
  <sheetData>
    <row r="1" spans="1:9" ht="15" thickBot="1" x14ac:dyDescent="0.4">
      <c r="A1" s="3" t="s">
        <v>4339</v>
      </c>
      <c r="B1" s="2" t="s">
        <v>0</v>
      </c>
      <c r="C1" s="7" t="s">
        <v>2</v>
      </c>
      <c r="D1" s="3" t="s">
        <v>3</v>
      </c>
      <c r="E1" s="7" t="s">
        <v>4336</v>
      </c>
      <c r="F1" s="3" t="s">
        <v>2157</v>
      </c>
      <c r="G1" s="3" t="s">
        <v>2158</v>
      </c>
      <c r="H1" s="3" t="s">
        <v>4384</v>
      </c>
      <c r="I1" s="22" t="s">
        <v>2175</v>
      </c>
    </row>
    <row r="2" spans="1:9" ht="125" customHeight="1" thickTop="1" thickBot="1" x14ac:dyDescent="0.4">
      <c r="A2" s="26">
        <v>1</v>
      </c>
      <c r="B2" s="12" t="s">
        <v>367</v>
      </c>
      <c r="C2" s="13" t="s">
        <v>369</v>
      </c>
      <c r="D2" s="9">
        <v>2019</v>
      </c>
      <c r="E2" s="31" t="s">
        <v>4393</v>
      </c>
      <c r="F2" s="32" t="s">
        <v>4347</v>
      </c>
      <c r="G2" s="32" t="s">
        <v>4348</v>
      </c>
      <c r="H2" s="32" t="s">
        <v>4349</v>
      </c>
      <c r="I2" s="27"/>
    </row>
    <row r="3" spans="1:9" ht="58" customHeight="1" x14ac:dyDescent="0.35">
      <c r="A3" s="14">
        <v>2</v>
      </c>
      <c r="B3" s="15" t="s">
        <v>408</v>
      </c>
      <c r="C3" s="11" t="s">
        <v>410</v>
      </c>
      <c r="D3" s="8">
        <v>2019</v>
      </c>
      <c r="E3" s="28" t="s">
        <v>4350</v>
      </c>
      <c r="F3" s="28" t="s">
        <v>4351</v>
      </c>
      <c r="G3" s="28" t="s">
        <v>4353</v>
      </c>
      <c r="H3" s="28" t="s">
        <v>4352</v>
      </c>
      <c r="I3" s="29" t="s">
        <v>4354</v>
      </c>
    </row>
    <row r="4" spans="1:9" ht="113" customHeight="1" x14ac:dyDescent="0.35">
      <c r="A4" s="14">
        <v>3</v>
      </c>
      <c r="B4" s="12" t="s">
        <v>1218</v>
      </c>
      <c r="C4" s="13" t="s">
        <v>1220</v>
      </c>
      <c r="D4" s="9">
        <v>2005</v>
      </c>
      <c r="E4" s="30" t="s">
        <v>4355</v>
      </c>
      <c r="F4" s="30" t="s">
        <v>4356</v>
      </c>
      <c r="G4" s="30" t="s">
        <v>4357</v>
      </c>
      <c r="H4" s="30" t="s">
        <v>4358</v>
      </c>
      <c r="I4" s="27"/>
    </row>
    <row r="5" spans="1:9" ht="198" customHeight="1" x14ac:dyDescent="0.35">
      <c r="A5" s="14">
        <v>4</v>
      </c>
      <c r="B5" s="15" t="s">
        <v>1112</v>
      </c>
      <c r="C5" s="11" t="s">
        <v>1114</v>
      </c>
      <c r="D5" s="8">
        <v>2008</v>
      </c>
      <c r="E5" s="28" t="s">
        <v>4359</v>
      </c>
      <c r="F5" s="28" t="s">
        <v>4360</v>
      </c>
      <c r="G5" s="28" t="s">
        <v>4361</v>
      </c>
      <c r="H5" s="28" t="s">
        <v>4362</v>
      </c>
      <c r="I5" s="29" t="s">
        <v>2192</v>
      </c>
    </row>
    <row r="6" spans="1:9" ht="58.5" thickBot="1" x14ac:dyDescent="0.4">
      <c r="A6" s="14">
        <v>4</v>
      </c>
      <c r="B6" s="12" t="s">
        <v>2935</v>
      </c>
      <c r="C6" s="14" t="s">
        <v>2937</v>
      </c>
      <c r="D6" s="13">
        <v>2009</v>
      </c>
      <c r="E6" s="33" t="s">
        <v>4363</v>
      </c>
      <c r="F6" s="33" t="s">
        <v>4363</v>
      </c>
      <c r="G6" s="33" t="s">
        <v>4363</v>
      </c>
      <c r="H6" s="33" t="s">
        <v>4363</v>
      </c>
      <c r="I6" s="33" t="s">
        <v>4363</v>
      </c>
    </row>
    <row r="7" spans="1:9" ht="58.5" thickBot="1" x14ac:dyDescent="0.4">
      <c r="A7" s="14">
        <v>4</v>
      </c>
      <c r="B7" s="15" t="s">
        <v>1043</v>
      </c>
      <c r="C7" s="11" t="s">
        <v>1045</v>
      </c>
      <c r="D7" s="8">
        <v>2011</v>
      </c>
      <c r="E7" s="34" t="s">
        <v>4364</v>
      </c>
      <c r="F7" s="35" t="s">
        <v>4365</v>
      </c>
      <c r="G7" s="35" t="s">
        <v>4366</v>
      </c>
      <c r="H7" s="35" t="s">
        <v>4367</v>
      </c>
      <c r="I7" s="36" t="s">
        <v>2209</v>
      </c>
    </row>
    <row r="8" spans="1:9" ht="116.5" thickBot="1" x14ac:dyDescent="0.4">
      <c r="A8" s="14">
        <v>5</v>
      </c>
      <c r="B8" s="12" t="s">
        <v>4303</v>
      </c>
      <c r="C8" s="14" t="s">
        <v>4304</v>
      </c>
      <c r="D8" s="13">
        <v>2015</v>
      </c>
      <c r="E8" s="33" t="s">
        <v>4368</v>
      </c>
      <c r="F8" s="37" t="s">
        <v>4369</v>
      </c>
      <c r="G8" s="37" t="s">
        <v>4370</v>
      </c>
      <c r="H8" s="37" t="s">
        <v>4371</v>
      </c>
      <c r="I8" s="27"/>
    </row>
    <row r="9" spans="1:9" ht="145" customHeight="1" thickBot="1" x14ac:dyDescent="0.4">
      <c r="A9" s="14">
        <v>6</v>
      </c>
      <c r="B9" s="12" t="s">
        <v>1070</v>
      </c>
      <c r="C9" s="13" t="s">
        <v>1072</v>
      </c>
      <c r="D9" s="9">
        <v>2009</v>
      </c>
      <c r="E9" s="33" t="s">
        <v>4372</v>
      </c>
      <c r="F9" s="37" t="s">
        <v>4373</v>
      </c>
      <c r="G9" s="37" t="s">
        <v>4374</v>
      </c>
      <c r="H9" s="37" t="s">
        <v>4375</v>
      </c>
      <c r="I9" s="27"/>
    </row>
    <row r="10" spans="1:9" ht="123.5" customHeight="1" thickBot="1" x14ac:dyDescent="0.4">
      <c r="A10" s="14">
        <v>7</v>
      </c>
      <c r="B10" s="12" t="s">
        <v>2097</v>
      </c>
      <c r="C10" s="14" t="s">
        <v>2100</v>
      </c>
      <c r="D10" s="13">
        <v>2005</v>
      </c>
      <c r="E10" s="33" t="s">
        <v>4376</v>
      </c>
      <c r="F10" s="37" t="s">
        <v>4377</v>
      </c>
      <c r="G10" s="37" t="s">
        <v>4378</v>
      </c>
      <c r="H10" s="37" t="s">
        <v>4379</v>
      </c>
      <c r="I10" s="32" t="s">
        <v>3968</v>
      </c>
    </row>
    <row r="11" spans="1:9" ht="87.5" customHeight="1" thickBot="1" x14ac:dyDescent="0.4">
      <c r="A11" s="14">
        <v>8</v>
      </c>
      <c r="B11" s="15" t="s">
        <v>518</v>
      </c>
      <c r="C11" s="11" t="s">
        <v>520</v>
      </c>
      <c r="D11" s="8">
        <v>2017</v>
      </c>
      <c r="E11" s="34" t="s">
        <v>4380</v>
      </c>
      <c r="F11" s="35" t="s">
        <v>4381</v>
      </c>
      <c r="G11" s="35" t="s">
        <v>4382</v>
      </c>
      <c r="H11" s="35" t="s">
        <v>4383</v>
      </c>
      <c r="I11" s="29"/>
    </row>
    <row r="12" spans="1:9" ht="58.5" thickBot="1" x14ac:dyDescent="0.4">
      <c r="A12" s="14">
        <v>9</v>
      </c>
      <c r="B12" s="12" t="s">
        <v>2227</v>
      </c>
      <c r="C12" s="14" t="s">
        <v>2226</v>
      </c>
      <c r="D12" s="13">
        <v>2003</v>
      </c>
      <c r="E12" s="33" t="s">
        <v>4385</v>
      </c>
      <c r="F12" s="37" t="s">
        <v>4386</v>
      </c>
      <c r="G12" s="37" t="s">
        <v>4387</v>
      </c>
      <c r="H12" s="37" t="s">
        <v>4388</v>
      </c>
      <c r="I12" s="27"/>
    </row>
    <row r="13" spans="1:9" ht="114" customHeight="1" thickBot="1" x14ac:dyDescent="0.4">
      <c r="A13" s="14">
        <v>10</v>
      </c>
      <c r="B13" s="12" t="s">
        <v>1209</v>
      </c>
      <c r="C13" s="13" t="s">
        <v>1211</v>
      </c>
      <c r="D13" s="9">
        <v>2005</v>
      </c>
      <c r="E13" s="33" t="s">
        <v>4394</v>
      </c>
      <c r="F13" s="37" t="s">
        <v>4389</v>
      </c>
      <c r="G13" s="37" t="s">
        <v>4390</v>
      </c>
      <c r="H13" s="37" t="s">
        <v>4391</v>
      </c>
      <c r="I13" s="32" t="s">
        <v>4392</v>
      </c>
    </row>
    <row r="14" spans="1:9" ht="73" thickBot="1" x14ac:dyDescent="0.4">
      <c r="A14" s="14">
        <v>11</v>
      </c>
      <c r="B14" s="12" t="s">
        <v>4338</v>
      </c>
      <c r="C14" s="14" t="s">
        <v>2166</v>
      </c>
      <c r="D14" s="13">
        <v>2005</v>
      </c>
      <c r="E14" s="33" t="s">
        <v>4395</v>
      </c>
      <c r="F14" s="37" t="s">
        <v>4396</v>
      </c>
      <c r="G14" s="37" t="s">
        <v>4397</v>
      </c>
      <c r="H14" s="37" t="s">
        <v>4398</v>
      </c>
      <c r="I14" s="27"/>
    </row>
    <row r="15" spans="1:9" ht="116.5" thickBot="1" x14ac:dyDescent="0.4">
      <c r="A15" s="14">
        <v>12</v>
      </c>
      <c r="B15" s="15" t="s">
        <v>548</v>
      </c>
      <c r="C15" s="11" t="s">
        <v>550</v>
      </c>
      <c r="D15" s="8">
        <v>2017</v>
      </c>
      <c r="E15" s="34" t="s">
        <v>4399</v>
      </c>
      <c r="F15" s="35" t="s">
        <v>4400</v>
      </c>
      <c r="G15" s="35" t="s">
        <v>4401</v>
      </c>
      <c r="H15" s="35" t="s">
        <v>4402</v>
      </c>
      <c r="I15" s="29"/>
    </row>
    <row r="16" spans="1:9" ht="220" customHeight="1" thickBot="1" x14ac:dyDescent="0.4">
      <c r="A16" s="14">
        <v>13</v>
      </c>
      <c r="B16" s="12" t="s">
        <v>1091</v>
      </c>
      <c r="C16" s="13" t="s">
        <v>1093</v>
      </c>
      <c r="D16" s="9">
        <v>2008</v>
      </c>
      <c r="E16" s="33" t="s">
        <v>4403</v>
      </c>
      <c r="F16" s="30" t="s">
        <v>4405</v>
      </c>
      <c r="G16" s="37" t="s">
        <v>4404</v>
      </c>
      <c r="H16" s="37" t="s">
        <v>2238</v>
      </c>
      <c r="I16" s="27"/>
    </row>
    <row r="17" spans="1:9" ht="73" thickBot="1" x14ac:dyDescent="0.4">
      <c r="A17" s="14">
        <v>13</v>
      </c>
      <c r="B17" s="15" t="s">
        <v>1080</v>
      </c>
      <c r="C17" s="11" t="s">
        <v>1082</v>
      </c>
      <c r="D17" s="8">
        <v>2009</v>
      </c>
      <c r="E17" s="34" t="s">
        <v>4406</v>
      </c>
      <c r="F17" s="35" t="s">
        <v>4407</v>
      </c>
      <c r="G17" s="35" t="s">
        <v>2207</v>
      </c>
      <c r="H17" s="35" t="s">
        <v>4408</v>
      </c>
      <c r="I17" s="38" t="s">
        <v>4411</v>
      </c>
    </row>
    <row r="18" spans="1:9" ht="140.5" customHeight="1" thickBot="1" x14ac:dyDescent="0.4">
      <c r="A18" s="14">
        <v>13</v>
      </c>
      <c r="B18" s="12" t="s">
        <v>4337</v>
      </c>
      <c r="C18" s="14" t="s">
        <v>2163</v>
      </c>
      <c r="D18" s="13">
        <v>2005</v>
      </c>
      <c r="E18" s="33" t="s">
        <v>4340</v>
      </c>
      <c r="F18" s="37" t="s">
        <v>4412</v>
      </c>
      <c r="G18" s="37" t="s">
        <v>4409</v>
      </c>
      <c r="H18" s="37" t="s">
        <v>4410</v>
      </c>
      <c r="I18" s="27"/>
    </row>
    <row r="19" spans="1:9" ht="58.5" thickBot="1" x14ac:dyDescent="0.4">
      <c r="A19" s="14">
        <v>14</v>
      </c>
      <c r="B19" s="12" t="s">
        <v>727</v>
      </c>
      <c r="C19" s="13" t="s">
        <v>729</v>
      </c>
      <c r="D19" s="9">
        <v>2015</v>
      </c>
      <c r="E19" s="33" t="s">
        <v>2174</v>
      </c>
      <c r="F19" s="37" t="s">
        <v>4413</v>
      </c>
      <c r="G19" s="37" t="s">
        <v>2174</v>
      </c>
      <c r="H19" s="37" t="s">
        <v>2174</v>
      </c>
      <c r="I19" s="39" t="s">
        <v>4420</v>
      </c>
    </row>
    <row r="20" spans="1:9" ht="73" thickBot="1" x14ac:dyDescent="0.4">
      <c r="A20" s="14">
        <v>14</v>
      </c>
      <c r="B20" s="15" t="s">
        <v>907</v>
      </c>
      <c r="C20" s="11" t="s">
        <v>909</v>
      </c>
      <c r="D20" s="8">
        <v>2013</v>
      </c>
      <c r="E20" s="34" t="s">
        <v>4414</v>
      </c>
      <c r="F20" s="35" t="s">
        <v>4415</v>
      </c>
      <c r="G20" s="35" t="s">
        <v>4416</v>
      </c>
      <c r="H20" s="35" t="s">
        <v>2173</v>
      </c>
      <c r="I20" s="36" t="s">
        <v>4420</v>
      </c>
    </row>
    <row r="21" spans="1:9" ht="150" customHeight="1" thickBot="1" x14ac:dyDescent="0.4">
      <c r="A21" s="14">
        <v>14</v>
      </c>
      <c r="B21" s="12" t="s">
        <v>708</v>
      </c>
      <c r="C21" s="13" t="s">
        <v>710</v>
      </c>
      <c r="D21" s="9">
        <v>2015</v>
      </c>
      <c r="E21" s="33" t="s">
        <v>4417</v>
      </c>
      <c r="F21" s="37" t="s">
        <v>4418</v>
      </c>
      <c r="G21" s="37" t="s">
        <v>4468</v>
      </c>
      <c r="H21" s="40" t="s">
        <v>4419</v>
      </c>
      <c r="I21" s="32" t="s">
        <v>4427</v>
      </c>
    </row>
    <row r="22" spans="1:9" ht="58" x14ac:dyDescent="0.35">
      <c r="A22" s="14">
        <v>14</v>
      </c>
      <c r="B22" s="12" t="s">
        <v>2171</v>
      </c>
      <c r="C22" s="14" t="s">
        <v>2172</v>
      </c>
      <c r="D22" s="13">
        <v>2014</v>
      </c>
      <c r="E22" s="30" t="s">
        <v>4426</v>
      </c>
      <c r="F22" s="30" t="s">
        <v>4426</v>
      </c>
      <c r="G22" s="30" t="s">
        <v>4426</v>
      </c>
      <c r="H22" s="30" t="s">
        <v>4426</v>
      </c>
      <c r="I22" s="27" t="s">
        <v>4420</v>
      </c>
    </row>
    <row r="23" spans="1:9" ht="131" thickBot="1" x14ac:dyDescent="0.4">
      <c r="A23" s="14">
        <v>14</v>
      </c>
      <c r="B23" s="15" t="s">
        <v>636</v>
      </c>
      <c r="C23" s="11" t="s">
        <v>638</v>
      </c>
      <c r="D23" s="8">
        <v>2017</v>
      </c>
      <c r="E23" s="34" t="s">
        <v>4421</v>
      </c>
      <c r="F23" s="35" t="s">
        <v>4422</v>
      </c>
      <c r="G23" s="35" t="s">
        <v>4423</v>
      </c>
      <c r="H23" s="35" t="s">
        <v>4424</v>
      </c>
      <c r="I23" s="29"/>
    </row>
    <row r="24" spans="1:9" ht="58.5" customHeight="1" thickBot="1" x14ac:dyDescent="0.4">
      <c r="A24" s="14">
        <v>15</v>
      </c>
      <c r="B24" s="12" t="s">
        <v>1014</v>
      </c>
      <c r="C24" s="13" t="s">
        <v>1016</v>
      </c>
      <c r="D24" s="9">
        <v>2011</v>
      </c>
      <c r="E24" s="30" t="s">
        <v>4428</v>
      </c>
      <c r="F24" s="30" t="s">
        <v>4322</v>
      </c>
      <c r="G24" s="30" t="s">
        <v>4429</v>
      </c>
      <c r="H24" s="30" t="s">
        <v>4430</v>
      </c>
      <c r="I24" s="27" t="s">
        <v>4431</v>
      </c>
    </row>
    <row r="25" spans="1:9" ht="58.5" thickBot="1" x14ac:dyDescent="0.4">
      <c r="A25" s="14">
        <v>15</v>
      </c>
      <c r="B25" s="12" t="s">
        <v>2219</v>
      </c>
      <c r="C25" s="14" t="s">
        <v>2218</v>
      </c>
      <c r="D25" s="13">
        <v>2018</v>
      </c>
      <c r="E25" s="30" t="s">
        <v>4432</v>
      </c>
      <c r="F25" s="30" t="s">
        <v>4326</v>
      </c>
      <c r="G25" s="30" t="s">
        <v>4325</v>
      </c>
      <c r="H25" s="37" t="s">
        <v>4433</v>
      </c>
      <c r="I25" s="32" t="s">
        <v>4434</v>
      </c>
    </row>
    <row r="26" spans="1:9" ht="128" customHeight="1" thickBot="1" x14ac:dyDescent="0.4">
      <c r="A26" s="14">
        <v>15</v>
      </c>
      <c r="B26" s="12" t="s">
        <v>2179</v>
      </c>
      <c r="C26" s="14" t="s">
        <v>2178</v>
      </c>
      <c r="D26" s="13">
        <v>2010</v>
      </c>
      <c r="E26" s="33" t="s">
        <v>4438</v>
      </c>
      <c r="F26" s="37" t="s">
        <v>4435</v>
      </c>
      <c r="G26" s="37" t="s">
        <v>4436</v>
      </c>
      <c r="H26" s="37" t="s">
        <v>4437</v>
      </c>
      <c r="I26" s="32" t="s">
        <v>4434</v>
      </c>
    </row>
    <row r="27" spans="1:9" ht="119.5" customHeight="1" thickBot="1" x14ac:dyDescent="0.4">
      <c r="A27" s="14">
        <v>15</v>
      </c>
      <c r="B27" s="12" t="s">
        <v>2179</v>
      </c>
      <c r="C27" s="14" t="s">
        <v>2180</v>
      </c>
      <c r="D27" s="13">
        <v>2011</v>
      </c>
      <c r="E27" s="33" t="s">
        <v>4325</v>
      </c>
      <c r="F27" s="37" t="s">
        <v>4324</v>
      </c>
      <c r="G27" s="37" t="s">
        <v>4325</v>
      </c>
      <c r="H27" s="37" t="s">
        <v>4433</v>
      </c>
      <c r="I27" s="32" t="s">
        <v>4434</v>
      </c>
    </row>
    <row r="28" spans="1:9" ht="121" customHeight="1" thickBot="1" x14ac:dyDescent="0.4">
      <c r="A28" s="14">
        <v>16</v>
      </c>
      <c r="B28" s="12" t="s">
        <v>952</v>
      </c>
      <c r="C28" s="13" t="s">
        <v>954</v>
      </c>
      <c r="D28" s="9">
        <v>2013</v>
      </c>
      <c r="E28" s="33" t="s">
        <v>4439</v>
      </c>
      <c r="F28" s="37" t="s">
        <v>4440</v>
      </c>
      <c r="G28" s="37" t="s">
        <v>4441</v>
      </c>
      <c r="H28" s="37" t="s">
        <v>4442</v>
      </c>
      <c r="I28" s="27"/>
    </row>
    <row r="29" spans="1:9" ht="109" customHeight="1" thickBot="1" x14ac:dyDescent="0.4">
      <c r="A29" s="14">
        <v>17</v>
      </c>
      <c r="B29" s="15" t="s">
        <v>60</v>
      </c>
      <c r="C29" s="11" t="s">
        <v>62</v>
      </c>
      <c r="D29" s="8">
        <v>2022</v>
      </c>
      <c r="E29" s="34" t="s">
        <v>4443</v>
      </c>
      <c r="F29" s="35" t="s">
        <v>4444</v>
      </c>
      <c r="G29" s="35" t="s">
        <v>4445</v>
      </c>
      <c r="H29" s="35" t="s">
        <v>4446</v>
      </c>
      <c r="I29" s="29"/>
    </row>
    <row r="30" spans="1:9" ht="50" customHeight="1" thickBot="1" x14ac:dyDescent="0.4">
      <c r="A30" s="14">
        <v>18</v>
      </c>
      <c r="B30" s="19" t="s">
        <v>2224</v>
      </c>
      <c r="C30" s="17" t="s">
        <v>2225</v>
      </c>
      <c r="D30" s="18">
        <v>2016</v>
      </c>
      <c r="E30" s="44" t="s">
        <v>4447</v>
      </c>
      <c r="F30" s="45" t="s">
        <v>4327</v>
      </c>
      <c r="G30" s="45" t="s">
        <v>4448</v>
      </c>
      <c r="H30" s="45" t="s">
        <v>4449</v>
      </c>
      <c r="I30" s="41"/>
    </row>
    <row r="31" spans="1:9" ht="73" thickBot="1" x14ac:dyDescent="0.4">
      <c r="A31" s="14">
        <v>19</v>
      </c>
      <c r="B31" s="20" t="s">
        <v>779</v>
      </c>
      <c r="C31" s="11" t="s">
        <v>781</v>
      </c>
      <c r="D31" s="21">
        <v>2015</v>
      </c>
      <c r="E31" s="46" t="s">
        <v>4450</v>
      </c>
      <c r="F31" s="47" t="s">
        <v>4451</v>
      </c>
      <c r="G31" s="47" t="s">
        <v>2214</v>
      </c>
      <c r="H31" s="47" t="s">
        <v>4454</v>
      </c>
      <c r="I31" s="47" t="s">
        <v>4453</v>
      </c>
    </row>
    <row r="32" spans="1:9" ht="73" thickBot="1" x14ac:dyDescent="0.4">
      <c r="A32" s="14">
        <v>19</v>
      </c>
      <c r="B32" s="20" t="s">
        <v>155</v>
      </c>
      <c r="C32" s="11" t="s">
        <v>157</v>
      </c>
      <c r="D32" s="21">
        <v>2021</v>
      </c>
      <c r="E32" s="46" t="s">
        <v>4455</v>
      </c>
      <c r="F32" s="47" t="s">
        <v>4456</v>
      </c>
      <c r="G32" s="47" t="s">
        <v>4457</v>
      </c>
      <c r="H32" s="47" t="s">
        <v>4452</v>
      </c>
      <c r="I32" s="47" t="s">
        <v>4458</v>
      </c>
    </row>
    <row r="33" spans="1:9" ht="246.5" x14ac:dyDescent="0.35">
      <c r="A33" s="14">
        <v>20</v>
      </c>
      <c r="B33" s="20" t="s">
        <v>308</v>
      </c>
      <c r="C33" s="11" t="s">
        <v>646</v>
      </c>
      <c r="D33" s="21">
        <v>2016</v>
      </c>
      <c r="E33" s="46" t="s">
        <v>4459</v>
      </c>
      <c r="F33" s="47" t="s">
        <v>4460</v>
      </c>
      <c r="G33" s="47" t="s">
        <v>4461</v>
      </c>
      <c r="H33" s="47" t="s">
        <v>4462</v>
      </c>
      <c r="I33" s="42"/>
    </row>
    <row r="34" spans="1:9" ht="102" thickBot="1" x14ac:dyDescent="0.4">
      <c r="A34" s="14">
        <v>20</v>
      </c>
      <c r="B34" s="19" t="s">
        <v>308</v>
      </c>
      <c r="C34" s="13" t="s">
        <v>310</v>
      </c>
      <c r="D34" s="10">
        <v>2019</v>
      </c>
      <c r="E34" s="43" t="s">
        <v>4463</v>
      </c>
      <c r="F34" s="43" t="s">
        <v>2215</v>
      </c>
      <c r="G34" s="43" t="s">
        <v>2216</v>
      </c>
      <c r="H34" s="43" t="s">
        <v>4463</v>
      </c>
      <c r="I34" s="43" t="s">
        <v>4463</v>
      </c>
    </row>
    <row r="35" spans="1:9" ht="79.5" customHeight="1" thickBot="1" x14ac:dyDescent="0.4">
      <c r="A35" s="14">
        <v>21</v>
      </c>
      <c r="B35" s="19" t="s">
        <v>943</v>
      </c>
      <c r="C35" s="13" t="s">
        <v>945</v>
      </c>
      <c r="D35" s="10">
        <v>2013</v>
      </c>
      <c r="E35" s="48" t="s">
        <v>4464</v>
      </c>
      <c r="F35" s="49" t="s">
        <v>4465</v>
      </c>
      <c r="G35" s="49" t="s">
        <v>4466</v>
      </c>
      <c r="H35" s="49" t="s">
        <v>4467</v>
      </c>
      <c r="I35" s="25"/>
    </row>
    <row r="36" spans="1:9" ht="276.5" customHeight="1" thickBot="1" x14ac:dyDescent="0.4">
      <c r="A36" s="14">
        <v>22</v>
      </c>
      <c r="B36" s="12" t="s">
        <v>2164</v>
      </c>
      <c r="C36" s="14" t="s">
        <v>2162</v>
      </c>
      <c r="D36" s="13">
        <v>2016</v>
      </c>
      <c r="E36" s="14" t="s">
        <v>4472</v>
      </c>
      <c r="F36" s="50" t="s">
        <v>4469</v>
      </c>
      <c r="G36" s="50" t="s">
        <v>4470</v>
      </c>
      <c r="H36" s="50" t="s">
        <v>4471</v>
      </c>
      <c r="I36" s="23"/>
    </row>
    <row r="37" spans="1:9" ht="108.5" customHeight="1" x14ac:dyDescent="0.35">
      <c r="A37" s="14">
        <v>23</v>
      </c>
      <c r="B37" s="19" t="s">
        <v>4306</v>
      </c>
      <c r="C37" s="14" t="s">
        <v>4307</v>
      </c>
      <c r="D37" s="18">
        <v>2012</v>
      </c>
      <c r="E37" s="51" t="s">
        <v>4473</v>
      </c>
      <c r="F37" s="52" t="s">
        <v>4474</v>
      </c>
      <c r="G37" s="52" t="s">
        <v>4475</v>
      </c>
      <c r="H37" s="17" t="s">
        <v>4329</v>
      </c>
      <c r="I37" s="25"/>
    </row>
    <row r="38" spans="1:9" ht="99" customHeight="1" thickBot="1" x14ac:dyDescent="0.4">
      <c r="A38" s="14">
        <v>23</v>
      </c>
      <c r="B38" s="12" t="s">
        <v>4306</v>
      </c>
      <c r="C38" s="14" t="s">
        <v>4305</v>
      </c>
      <c r="D38" s="13">
        <v>2015</v>
      </c>
      <c r="E38" s="14" t="s">
        <v>4476</v>
      </c>
      <c r="F38" s="14" t="s">
        <v>4476</v>
      </c>
      <c r="G38" s="14" t="s">
        <v>4476</v>
      </c>
      <c r="H38" s="14" t="s">
        <v>4476</v>
      </c>
      <c r="I38" s="23"/>
    </row>
    <row r="39" spans="1:9" ht="133.5" customHeight="1" thickBot="1" x14ac:dyDescent="0.4">
      <c r="A39" s="14">
        <v>24</v>
      </c>
      <c r="B39" s="19" t="s">
        <v>3662</v>
      </c>
      <c r="C39" s="14" t="s">
        <v>3664</v>
      </c>
      <c r="D39" s="18">
        <v>2022</v>
      </c>
      <c r="E39" s="51" t="s">
        <v>4477</v>
      </c>
      <c r="F39" s="52" t="s">
        <v>4478</v>
      </c>
      <c r="G39" s="52" t="s">
        <v>4479</v>
      </c>
      <c r="H39" s="52" t="s">
        <v>4480</v>
      </c>
      <c r="I39" s="49" t="s">
        <v>4481</v>
      </c>
    </row>
    <row r="40" spans="1:9" ht="116.5" thickBot="1" x14ac:dyDescent="0.4">
      <c r="A40" s="14">
        <v>25</v>
      </c>
      <c r="B40" s="12" t="s">
        <v>769</v>
      </c>
      <c r="C40" s="13" t="s">
        <v>771</v>
      </c>
      <c r="D40" s="9">
        <v>2015</v>
      </c>
      <c r="E40" s="53" t="s">
        <v>4482</v>
      </c>
      <c r="F40" s="50" t="s">
        <v>4485</v>
      </c>
      <c r="G40" s="50" t="s">
        <v>4484</v>
      </c>
      <c r="H40" s="50" t="s">
        <v>4483</v>
      </c>
      <c r="I40" s="50" t="s">
        <v>4486</v>
      </c>
    </row>
    <row r="41" spans="1:9" ht="215.5" customHeight="1" thickBot="1" x14ac:dyDescent="0.4">
      <c r="A41" s="14">
        <v>26</v>
      </c>
      <c r="B41" s="19" t="s">
        <v>1396</v>
      </c>
      <c r="C41" s="14" t="s">
        <v>1398</v>
      </c>
      <c r="D41" s="18">
        <v>2021</v>
      </c>
      <c r="E41" s="51" t="s">
        <v>4487</v>
      </c>
      <c r="F41" s="52" t="s">
        <v>4488</v>
      </c>
      <c r="G41" s="52" t="s">
        <v>4489</v>
      </c>
      <c r="H41" s="52" t="s">
        <v>4490</v>
      </c>
      <c r="I41" s="25"/>
    </row>
    <row r="42" spans="1:9" ht="118" customHeight="1" thickBot="1" x14ac:dyDescent="0.4">
      <c r="A42" s="14">
        <v>27</v>
      </c>
      <c r="B42" s="19" t="s">
        <v>4313</v>
      </c>
      <c r="C42" s="14" t="s">
        <v>4314</v>
      </c>
      <c r="D42" s="18">
        <v>2008</v>
      </c>
      <c r="E42" s="48" t="s">
        <v>4331</v>
      </c>
      <c r="F42" s="49" t="s">
        <v>4491</v>
      </c>
      <c r="G42" s="49" t="s">
        <v>4332</v>
      </c>
      <c r="H42" s="49" t="s">
        <v>4492</v>
      </c>
      <c r="I42" s="25"/>
    </row>
    <row r="43" spans="1:9" ht="168" customHeight="1" thickBot="1" x14ac:dyDescent="0.4">
      <c r="A43" s="14">
        <v>28</v>
      </c>
      <c r="B43" s="20" t="s">
        <v>85</v>
      </c>
      <c r="C43" s="11" t="s">
        <v>87</v>
      </c>
      <c r="D43" s="21">
        <v>2021</v>
      </c>
      <c r="E43" s="54" t="s">
        <v>4493</v>
      </c>
      <c r="F43" s="55" t="s">
        <v>4494</v>
      </c>
      <c r="G43" s="55" t="s">
        <v>4495</v>
      </c>
      <c r="H43" s="55" t="s">
        <v>4496</v>
      </c>
      <c r="I43" s="55" t="s">
        <v>4497</v>
      </c>
    </row>
    <row r="44" spans="1:9" ht="232" customHeight="1" thickBot="1" x14ac:dyDescent="0.4">
      <c r="A44" s="14">
        <v>29</v>
      </c>
      <c r="B44" s="12" t="s">
        <v>4323</v>
      </c>
      <c r="C44" s="14" t="s">
        <v>1617</v>
      </c>
      <c r="D44" s="13">
        <v>2018</v>
      </c>
      <c r="E44" s="53" t="s">
        <v>4334</v>
      </c>
      <c r="F44" s="50" t="s">
        <v>4498</v>
      </c>
      <c r="G44" s="50" t="s">
        <v>4499</v>
      </c>
      <c r="H44" s="50" t="s">
        <v>4335</v>
      </c>
      <c r="I44" s="23"/>
    </row>
    <row r="45" spans="1:9" ht="116.5" thickBot="1" x14ac:dyDescent="0.4">
      <c r="A45" s="14">
        <v>30</v>
      </c>
      <c r="B45" s="19" t="s">
        <v>4312</v>
      </c>
      <c r="C45" s="14" t="s">
        <v>4311</v>
      </c>
      <c r="D45" s="18">
        <v>2007</v>
      </c>
      <c r="E45" s="51" t="s">
        <v>4500</v>
      </c>
      <c r="F45" s="52" t="s">
        <v>4333</v>
      </c>
      <c r="G45" s="52" t="s">
        <v>4501</v>
      </c>
      <c r="H45" s="52" t="s">
        <v>4503</v>
      </c>
      <c r="I45" s="49" t="s">
        <v>4502</v>
      </c>
    </row>
    <row r="46" spans="1:9" ht="109" customHeight="1" thickBot="1" x14ac:dyDescent="0.4">
      <c r="A46" s="14">
        <v>31</v>
      </c>
      <c r="B46" s="12" t="s">
        <v>4276</v>
      </c>
      <c r="C46" s="13" t="s">
        <v>2718</v>
      </c>
      <c r="D46" s="9">
        <v>2022</v>
      </c>
      <c r="E46" s="53" t="s">
        <v>4504</v>
      </c>
      <c r="F46" s="50" t="s">
        <v>4505</v>
      </c>
      <c r="G46" s="50" t="s">
        <v>4506</v>
      </c>
      <c r="H46" s="50" t="s">
        <v>4507</v>
      </c>
      <c r="I46" s="23"/>
    </row>
    <row r="47" spans="1:9" ht="91" customHeight="1" thickBot="1" x14ac:dyDescent="0.4">
      <c r="A47" s="14">
        <v>32</v>
      </c>
      <c r="B47" s="15" t="s">
        <v>277</v>
      </c>
      <c r="C47" s="11" t="s">
        <v>279</v>
      </c>
      <c r="D47" s="8">
        <v>2020</v>
      </c>
      <c r="E47" s="56" t="s">
        <v>4509</v>
      </c>
      <c r="F47" s="16" t="s">
        <v>4511</v>
      </c>
      <c r="G47" s="16" t="s">
        <v>4508</v>
      </c>
      <c r="H47" s="57" t="s">
        <v>4510</v>
      </c>
      <c r="I47" s="24"/>
    </row>
    <row r="48" spans="1:9" ht="158" customHeight="1" thickBot="1" x14ac:dyDescent="0.4">
      <c r="A48" s="14">
        <v>33</v>
      </c>
      <c r="B48" s="19" t="s">
        <v>4317</v>
      </c>
      <c r="C48" s="14" t="s">
        <v>4318</v>
      </c>
      <c r="D48" s="18">
        <v>2018</v>
      </c>
      <c r="E48" s="51" t="s">
        <v>4512</v>
      </c>
      <c r="F48" s="52" t="s">
        <v>4513</v>
      </c>
      <c r="G48" s="52" t="s">
        <v>4514</v>
      </c>
      <c r="H48" s="52" t="s">
        <v>4330</v>
      </c>
      <c r="I48" s="25"/>
    </row>
    <row r="49" spans="1:9" ht="140" customHeight="1" thickBot="1" x14ac:dyDescent="0.4">
      <c r="A49" s="14">
        <v>34</v>
      </c>
      <c r="B49" s="12" t="s">
        <v>863</v>
      </c>
      <c r="C49" s="13" t="s">
        <v>865</v>
      </c>
      <c r="D49" s="9">
        <v>2014</v>
      </c>
      <c r="E49" s="53" t="s">
        <v>4515</v>
      </c>
      <c r="F49" s="50" t="s">
        <v>4516</v>
      </c>
      <c r="G49" s="50" t="s">
        <v>4321</v>
      </c>
      <c r="H49" s="50" t="s">
        <v>4517</v>
      </c>
      <c r="I49" s="23"/>
    </row>
    <row r="50" spans="1:9" ht="159" customHeight="1" thickBot="1" x14ac:dyDescent="0.4">
      <c r="A50" s="14">
        <v>35</v>
      </c>
      <c r="B50" s="12" t="s">
        <v>610</v>
      </c>
      <c r="C50" s="13" t="s">
        <v>612</v>
      </c>
      <c r="D50" s="9">
        <v>2017</v>
      </c>
      <c r="E50" s="58" t="s">
        <v>4518</v>
      </c>
      <c r="F50" s="59" t="s">
        <v>4519</v>
      </c>
      <c r="G50" s="59" t="s">
        <v>4520</v>
      </c>
      <c r="H50" s="59" t="s">
        <v>4521</v>
      </c>
      <c r="I50" s="50" t="s">
        <v>4522</v>
      </c>
    </row>
    <row r="51" spans="1:9" ht="97.5" customHeight="1" thickBot="1" x14ac:dyDescent="0.4">
      <c r="A51" s="14">
        <v>35</v>
      </c>
      <c r="B51" s="12" t="s">
        <v>1593</v>
      </c>
      <c r="C51" s="14" t="s">
        <v>1595</v>
      </c>
      <c r="D51" s="13">
        <v>2019</v>
      </c>
      <c r="E51" s="58" t="s">
        <v>4523</v>
      </c>
      <c r="F51" s="59" t="s">
        <v>4524</v>
      </c>
      <c r="G51" s="59" t="s">
        <v>4525</v>
      </c>
      <c r="H51" s="59" t="s">
        <v>4526</v>
      </c>
      <c r="I51" s="23"/>
    </row>
    <row r="52" spans="1:9" ht="94.5" customHeight="1" thickBot="1" x14ac:dyDescent="0.4">
      <c r="A52" s="17">
        <v>35</v>
      </c>
      <c r="B52" s="19" t="s">
        <v>4319</v>
      </c>
      <c r="C52" s="17" t="s">
        <v>4320</v>
      </c>
      <c r="D52" s="18">
        <v>2018</v>
      </c>
      <c r="E52" s="60" t="s">
        <v>4523</v>
      </c>
      <c r="F52" s="60" t="s">
        <v>4527</v>
      </c>
      <c r="G52" s="61" t="s">
        <v>4528</v>
      </c>
      <c r="H52" s="61" t="s">
        <v>4529</v>
      </c>
      <c r="I52" s="61" t="s">
        <v>4530</v>
      </c>
    </row>
  </sheetData>
  <pageMargins left="0.7" right="0.7" top="0.78740157499999996" bottom="0.78740157499999996"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G M H A A B Q S w M E F A A C A A g A s H O e V b Y W / 3 W n A A A A + Q A A A B I A H A B D b 2 5 m a W c v U G F j a 2 F n Z S 5 4 b W w g o h g A K K A U A A A A A A A A A A A A A A A A A A A A A A A A A A A A h c 8 x D o I w G A X g q 5 D u t K U a I + S n D O o m i Y m J c W 1 K h U Y o h h b L 3 R w 8 k l e Q R F E 3 x / f y D e 8 9 b n f I h q Y O r q q z u j U p i j B F g T K y L b Q p U 9 S 7 U 7 h E G Y e d k G d R q m D E x i a D L V J U O X d J C P H e Y z / D b V c S R m l E j v l 2 L y v V C P T B + j 8 O t b F O G K k Q h 8 N r D G c 4 n u M F Y z G m o w U y 9 Z B r 8 z V s n I w p k J 8 S V n 3 t + k 7 x Q o X r D Z A p A n n f 4 E 9 Q S w M E F A A C A A g A s H O e 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B z n l W t h 2 f M W g Q A A D c T A A A T A B w A R m 9 y b X V s Y X M v U 2 V j d G l v b j E u b S C i G A A o o B Q A A A A A A A A A A A A A A A A A A A A A A A A A A A D t V + F u I j c Q / h 8 p 7 2 D t / Q E J I e D S u 6 o V P z g g F 9 o U K E s a V S G q v L s D W D H 2 1 v Y m o C h v c 8 9 w L 3 A v 1 t l d S E j s 3 S S n 9 q R K x x 9 g v r F n P J 7 5 Z q w h N E w K 4 u f f z Z 8 P D w 4 P 9 J I q i I g O Z Z x o 0 i Y c z O E B w c / v C X A O K O n q 6 3 p P h s k K h K k c M w 7 1 r h Q G / + i K 1 / 1 p d q Z B 6 Z m m x v w V w K w H + s r I e L a A e S I i E E D G N A Z F w I S z C V w z u J n l p u q h v v a q t Y s e c L Z i B l T b q 3 k 1 0 p U 8 W Q n d b h 3 V S F + E M m J i 0 X 7 3 Q 6 P R r K F H 0 o B v N h z a D z / r Q y n g s l r L n X 7 j n X z 5 v E R 7 C 9 A m m R s g J 0 A j U B 6 e Y 0 o D V B 8 r u c K 1 u V h X 8 l P W y M V W 3 u H c D y m n S r e N S v Y 3 / g h f P u G J F L p K p p v 4 Y c e p o k L P p V r l v i M G u l L o S O 3 2 1 u s k Z i m V x u M a V C Y G 1 u a u R n b y i q 6 S Q c 8 C p 8 x w s K R / A s U 9 y U C Y d 0 f 1 1 H Q m 9 W W i Q t R y L v k j d d M W D 7 R O b G l H m T o Z y r o F j O k C i D Z U G d t 8 h o G I C p B Q J s K x q o t Z E J F g Y y O 9 0 c C y f 8 r E l e 3 t f M 4 4 o 2 l 2 F 0 V X k x t m l o S W a g b a K B q a g i 3 I r 7 C 5 k S q y F w 4 w Q d b F 8 K 6 K 0 v y x Q z 1 O A s 5 C m p e o w U B Z G q M Y B O m E I W h 7 7 / z K L X H / S S b d V Q 8 P m C j K 6 U e M Q K 8 h U h C 6 S a G / D o H X z 6 W 6 C q S 8 + l d o Y W e v v u Y a m Y G I h H N 0 H a t w V 4 T 3 K k 3 0 I H f l 9 m J I V 9 D 2 7 i H v 8 u 6 i R w 2 9 / F p G e D D y j V l h / / 6 d C V J E G x / w B k g p 2 I + Y K Q Q / K p n E h e u 3 K X + M l 0 H S U J e a L 1 N 7 x o w y L M T M c r P c l s / c Y G b f B 8 V A v 0 D D T w I 3 L Z 5 S s U h c V V d e t Z j 0 c 1 A g C t 3 b U 8 C 8 L M V P Z X 7 9 Z T p + j I w l V Z n K i d S v p 6 4 d Q M Y 8 e Q 0 j R l g r W j v u u 5 S L J x A r h i E t X t 5 f U c Z L 8 A l o b H 1 h W k w D x 3 F G k + 6 g Z 4 u P k X 1 w o i A j t S g G p y i w 4 5 t 1 p w l s g 2 y v f q K A k 0 z e 5 Z 5 2 c a w N k u n W y L n 0 U U 3 Z O f F I C 8 k n z R w a U F c c m j 8 2 E N 2 Q M 5 2 2 V r d R n 6 U O t R r N t 6 V q G Q H p J d j J d Y + k P m 1 K 4 O 1 9 2 Y 3 R 9 4 e W E J z S g f / B F v 6 C B C A o 5 k M Q K G w X 7 i r Z K Q 3 8 U b n i P t M 6 a 3 J f w T 1 h v W q I G u O U R I b J K n C E 1 k / i m E P K L z Y U Q 8 j S 8 z g 3 / Q 3 A p N l a W J p + O p y R c U 5 p T 9 z v i 2 i H u H m 4 w F v X J J a x q w v o U 8 U 3 2 3 n l U Z w j / J 1 p 5 F a I n G f O 2 G m T F Q g q L 2 T K 3 T Y M Q b r W D 1 l W c d n 0 V U g U p K O A O j K z 5 x c d 9 m x K K m e C / Z 0 A O R / 5 O J N X X Y m y w q o f O E b d v W G N 4 P j D F q K A C 0 / Y Y o l x y v k D L 8 0 4 + P d E m u 3 E V K C Q h j e N R X 8 d S + V g r 2 w I e d / 4 y l n w j Z c / 2 h p H j f e t R q t F K q 2 q 9 w 0 f i z u 7 z z w a 3 7 a + P x q / P x p f / W j 8 j 1 5 7 2 0 n N B o r 7 7 N 4 Q J 6 g j 3 H t 4 9 M w s y V 8 w S 2 K l O H r D y 7 t y d 9 T r 2 9 L d I J 3 S 0 U i x B U t 7 8 o 4 T / o d v 4 n 8 A U E s B A i 0 A F A A C A A g A s H O e V b Y W / 3 W n A A A A + Q A A A B I A A A A A A A A A A A A A A A A A A A A A A E N v b m Z p Z y 9 Q Y W N r Y W d l L n h t b F B L A Q I t A B Q A A g A I A L B z n l U P y u m r p A A A A O k A A A A T A A A A A A A A A A A A A A A A A P M A A A B b Q 2 9 u d G V u d F 9 U e X B l c 1 0 u e G 1 s U E s B A i 0 A F A A C A A g A s H O e V a 2 H Z 8 x a B A A A N x M A A B M A A A A A A A A A A A A A A A A A 5 A E A A E Z v c m 1 1 b G F z L 1 N l Y 3 R p b 2 4 x L m 1 Q S w U G A A A A A A M A A w D C A A A A i w Y 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z 2 I A A A A A A A C t Y 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c 2 N v c H V 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T I 3 I i A v P j x F b n R y e S B U e X B l P S J G a W x s R X J y b 3 J D b 2 R l I i B W Y W x 1 Z T 0 i c 1 V u a 2 5 v d 2 4 i I C 8 + P E V u d H J 5 I F R 5 c G U 9 I k Z p b G x F c n J v c k N v d W 5 0 I i B W Y W x 1 Z T 0 i b D A i I C 8 + P E V u d H J 5 I F R 5 c G U 9 I k Z p b G x M Y X N 0 V X B k Y X R l Z C I g V m F s d W U 9 I m Q y M D I y L T A 0 L T A x V D A 3 O j E 2 O j U 2 L j I 4 M z M z N D V a I i A v P j x F b n R y e S B U e X B l P S J G a W x s Q 2 9 s d W 1 u V H l w Z X M i I F Z h b H V l P S J z Q m d Z R 0 F 3 W U d C Z 1 l E Q X d N R E J n W U d C Z 1 l H Q m d Z R 0 J n W U c i I C 8 + P E V u d H J 5 I F R 5 c G U 9 I k Z p b G x D b 2 x 1 b W 5 O Y W 1 l c y I g V m F s d W U 9 I n N b J n F 1 b 3 Q 7 Q X V 0 a G 9 y c y Z x d W 9 0 O y w m c X V v d D t B d X R o b 3 I o c y k g S U Q m c X V v d D s s J n F 1 b 3 Q 7 V G l 0 b G U m c X V v d D s s J n F 1 b 3 Q 7 W W V h c i Z x d W 9 0 O y w m c X V v d D t T b 3 V y Y 2 U g d G l 0 b G U m c X V v d D s s J n F 1 b 3 Q 7 V m 9 s d W 1 l J n F 1 b 3 Q 7 L C Z x d W 9 0 O 0 l z c 3 V l J n F 1 b 3 Q 7 L C Z x d W 9 0 O 0 F y d C 4 g T m 8 u J n F 1 b 3 Q 7 L C Z x d W 9 0 O 1 B h Z 2 U g c 3 R h c n Q m c X V v d D s s J n F 1 b 3 Q 7 U G F n Z S B l b m Q m c X V v d D s s J n F 1 b 3 Q 7 U G F n Z S B j b 3 V u d C Z x d W 9 0 O y w m c X V v d D t D a X R l Z C B i e S Z x d W 9 0 O y w m c X V v d D t E T 0 k m c X V v d D s s J n F 1 b 3 Q 7 T G l u a y Z x d W 9 0 O y w m c X V v d D t B Z m Z p b G l h d G l v b n M m c X V v d D s s J n F 1 b 3 Q 7 Q X V 0 a G 9 y c y B 3 a X R o I G F m Z m l s a W F 0 a W 9 u c y Z x d W 9 0 O y w m c X V v d D t B Y n N 0 c m F j d C Z x d W 9 0 O y w m c X V v d D t B d X R o b 3 I g S 2 V 5 d 2 9 y Z H M m c X V v d D s s J n F 1 b 3 Q 7 S W 5 k Z X g g S 2 V 5 d 2 9 y Z H M m c X V v d D s s J n F 1 b 3 Q 7 R G 9 j d W 1 l b n Q g V H l w Z S Z x d W 9 0 O y w m c X V v d D t Q d W J s a W N h d G l v b i B T d G F n Z S Z x d W 9 0 O y w m c X V v d D t P c G V u I E F j Y 2 V z c y Z x d W 9 0 O y w m c X V v d D t T b 3 V y Y 2 U m c X V v d D s s J n F 1 b 3 Q 7 R U l E J n F 1 b 3 Q 7 X S I g L z 4 8 R W 5 0 c n k g V H l w Z T 0 i R m l s b F N 0 Y X R 1 c y I g V m F s d W U 9 I n N D b 2 1 w b G V 0 Z S I g L z 4 8 R W 5 0 c n k g V H l w Z T 0 i U m V s Y X R p b 2 5 z a G l w S W 5 m b 0 N v b n R h a W 5 l c i I g V m F s d W U 9 I n N 7 J n F 1 b 3 Q 7 Y 2 9 s d W 1 u Q 2 9 1 b n Q m c X V v d D s 6 M j Q s J n F 1 b 3 Q 7 a 2 V 5 Q 2 9 s d W 1 u T m F t Z X M m c X V v d D s 6 W 1 0 s J n F 1 b 3 Q 7 c X V l c n l S Z W x h d G l v b n N o a X B z J n F 1 b 3 Q 7 O l t d L C Z x d W 9 0 O 2 N v b H V t b k l k Z W 5 0 a X R p Z X M m c X V v d D s 6 W y Z x d W 9 0 O 1 N l Y 3 R p b 2 4 x L 3 N j b 3 B 1 c y 9 H Z c O k b m R l c n R l c i B U e X A u e 0 F 1 d G h v c n M s M H 0 m c X V v d D s s J n F 1 b 3 Q 7 U 2 V j d G l v b j E v c 2 N v c H V z L 0 d l w 6 R u Z G V y d G V y I F R 5 c C 5 7 Q X V 0 a G 9 y K H M p I E l E L D F 9 J n F 1 b 3 Q 7 L C Z x d W 9 0 O 1 N l Y 3 R p b 2 4 x L 3 N j b 3 B 1 c y 9 H Z c O k b m R l c n R l c i B U e X A u e 1 R p d G x l L D J 9 J n F 1 b 3 Q 7 L C Z x d W 9 0 O 1 N l Y 3 R p b 2 4 x L 3 N j b 3 B 1 c y 9 H Z c O k b m R l c n R l c i B U e X A u e 1 l l Y X I s M 3 0 m c X V v d D s s J n F 1 b 3 Q 7 U 2 V j d G l v b j E v c 2 N v c H V z L 0 d l w 6 R u Z G V y d G V y I F R 5 c C 5 7 U 2 9 1 c m N l I H R p d G x l L D R 9 J n F 1 b 3 Q 7 L C Z x d W 9 0 O 1 N l Y 3 R p b 2 4 x L 3 N j b 3 B 1 c y 9 H Z c O k b m R l c n R l c i B U e X A u e 1 Z v b H V t Z S w 1 f S Z x d W 9 0 O y w m c X V v d D t T Z W N 0 a W 9 u M S 9 z Y 2 9 w d X M v R 2 X D p G 5 k Z X J 0 Z X I g V H l w L n t J c 3 N 1 Z S w 2 f S Z x d W 9 0 O y w m c X V v d D t T Z W N 0 a W 9 u M S 9 z Y 2 9 w d X M v R 2 X D p G 5 k Z X J 0 Z X I g V H l w L n t B c n Q u I E 5 v L i w 3 f S Z x d W 9 0 O y w m c X V v d D t T Z W N 0 a W 9 u M S 9 z Y 2 9 w d X M v R 2 X D p G 5 k Z X J 0 Z X I g V H l w L n t Q Y W d l I H N 0 Y X J 0 L D h 9 J n F 1 b 3 Q 7 L C Z x d W 9 0 O 1 N l Y 3 R p b 2 4 x L 3 N j b 3 B 1 c y 9 H Z c O k b m R l c n R l c i B U e X A u e 1 B h Z 2 U g Z W 5 k L D l 9 J n F 1 b 3 Q 7 L C Z x d W 9 0 O 1 N l Y 3 R p b 2 4 x L 3 N j b 3 B 1 c y 9 H Z c O k b m R l c n R l c i B U e X A u e 1 B h Z 2 U g Y 2 9 1 b n Q s M T B 9 J n F 1 b 3 Q 7 L C Z x d W 9 0 O 1 N l Y 3 R p b 2 4 x L 3 N j b 3 B 1 c y 9 H Z c O k b m R l c n R l c i B U e X A u e 0 N p d G V k I G J 5 L D E x f S Z x d W 9 0 O y w m c X V v d D t T Z W N 0 a W 9 u M S 9 z Y 2 9 w d X M v R 2 X D p G 5 k Z X J 0 Z X I g V H l w L n t E T 0 k s M T J 9 J n F 1 b 3 Q 7 L C Z x d W 9 0 O 1 N l Y 3 R p b 2 4 x L 3 N j b 3 B 1 c y 9 H Z c O k b m R l c n R l c i B U e X A u e 0 x p b m s s M T N 9 J n F 1 b 3 Q 7 L C Z x d W 9 0 O 1 N l Y 3 R p b 2 4 x L 3 N j b 3 B 1 c y 9 H Z c O k b m R l c n R l c i B U e X A u e 0 F m Z m l s a W F 0 a W 9 u c y w x N H 0 m c X V v d D s s J n F 1 b 3 Q 7 U 2 V j d G l v b j E v c 2 N v c H V z L 0 d l w 6 R u Z G V y d G V y I F R 5 c C 5 7 Q X V 0 a G 9 y c y B 3 a X R o I G F m Z m l s a W F 0 a W 9 u c y w x N X 0 m c X V v d D s s J n F 1 b 3 Q 7 U 2 V j d G l v b j E v c 2 N v c H V z L 0 d l w 6 R u Z G V y d G V y I F R 5 c C 5 7 Q W J z d H J h Y 3 Q s M T Z 9 J n F 1 b 3 Q 7 L C Z x d W 9 0 O 1 N l Y 3 R p b 2 4 x L 3 N j b 3 B 1 c y 9 H Z c O k b m R l c n R l c i B U e X A u e 0 F 1 d G h v c i B L Z X l 3 b 3 J k c y w x N 3 0 m c X V v d D s s J n F 1 b 3 Q 7 U 2 V j d G l v b j E v c 2 N v c H V z L 0 d l w 6 R u Z G V y d G V y I F R 5 c C 5 7 S W 5 k Z X g g S 2 V 5 d 2 9 y Z H M s M T h 9 J n F 1 b 3 Q 7 L C Z x d W 9 0 O 1 N l Y 3 R p b 2 4 x L 3 N j b 3 B 1 c y 9 H Z c O k b m R l c n R l c i B U e X A u e 0 R v Y 3 V t Z W 5 0 I F R 5 c G U s M T l 9 J n F 1 b 3 Q 7 L C Z x d W 9 0 O 1 N l Y 3 R p b 2 4 x L 3 N j b 3 B 1 c y 9 H Z c O k b m R l c n R l c i B U e X A u e 1 B 1 Y m x p Y 2 F 0 a W 9 u I F N 0 Y W d l L D I w f S Z x d W 9 0 O y w m c X V v d D t T Z W N 0 a W 9 u M S 9 z Y 2 9 w d X M v R 2 X D p G 5 k Z X J 0 Z X I g V H l w L n t P c G V u I E F j Y 2 V z c y w y M X 0 m c X V v d D s s J n F 1 b 3 Q 7 U 2 V j d G l v b j E v c 2 N v c H V z L 0 d l w 6 R u Z G V y d G V y I F R 5 c C 5 7 U 2 9 1 c m N l L D I y f S Z x d W 9 0 O y w m c X V v d D t T Z W N 0 a W 9 u M S 9 z Y 2 9 w d X M v R 2 X D p G 5 k Z X J 0 Z X I g V H l w L n t F S U Q s M j N 9 J n F 1 b 3 Q 7 X S w m c X V v d D t D b 2 x 1 b W 5 D b 3 V u d C Z x d W 9 0 O z o y N C w m c X V v d D t L Z X l D b 2 x 1 b W 5 O Y W 1 l c y Z x d W 9 0 O z p b X S w m c X V v d D t D b 2 x 1 b W 5 J Z G V u d G l 0 a W V z J n F 1 b 3 Q 7 O l s m c X V v d D t T Z W N 0 a W 9 u M S 9 z Y 2 9 w d X M v R 2 X D p G 5 k Z X J 0 Z X I g V H l w L n t B d X R o b 3 J z L D B 9 J n F 1 b 3 Q 7 L C Z x d W 9 0 O 1 N l Y 3 R p b 2 4 x L 3 N j b 3 B 1 c y 9 H Z c O k b m R l c n R l c i B U e X A u e 0 F 1 d G h v c i h z K S B J R C w x f S Z x d W 9 0 O y w m c X V v d D t T Z W N 0 a W 9 u M S 9 z Y 2 9 w d X M v R 2 X D p G 5 k Z X J 0 Z X I g V H l w L n t U a X R s Z S w y f S Z x d W 9 0 O y w m c X V v d D t T Z W N 0 a W 9 u M S 9 z Y 2 9 w d X M v R 2 X D p G 5 k Z X J 0 Z X I g V H l w L n t Z Z W F y L D N 9 J n F 1 b 3 Q 7 L C Z x d W 9 0 O 1 N l Y 3 R p b 2 4 x L 3 N j b 3 B 1 c y 9 H Z c O k b m R l c n R l c i B U e X A u e 1 N v d X J j Z S B 0 a X R s Z S w 0 f S Z x d W 9 0 O y w m c X V v d D t T Z W N 0 a W 9 u M S 9 z Y 2 9 w d X M v R 2 X D p G 5 k Z X J 0 Z X I g V H l w L n t W b 2 x 1 b W U s N X 0 m c X V v d D s s J n F 1 b 3 Q 7 U 2 V j d G l v b j E v c 2 N v c H V z L 0 d l w 6 R u Z G V y d G V y I F R 5 c C 5 7 S X N z d W U s N n 0 m c X V v d D s s J n F 1 b 3 Q 7 U 2 V j d G l v b j E v c 2 N v c H V z L 0 d l w 6 R u Z G V y d G V y I F R 5 c C 5 7 Q X J 0 L i B O b y 4 s N 3 0 m c X V v d D s s J n F 1 b 3 Q 7 U 2 V j d G l v b j E v c 2 N v c H V z L 0 d l w 6 R u Z G V y d G V y I F R 5 c C 5 7 U G F n Z S B z d G F y d C w 4 f S Z x d W 9 0 O y w m c X V v d D t T Z W N 0 a W 9 u M S 9 z Y 2 9 w d X M v R 2 X D p G 5 k Z X J 0 Z X I g V H l w L n t Q Y W d l I G V u Z C w 5 f S Z x d W 9 0 O y w m c X V v d D t T Z W N 0 a W 9 u M S 9 z Y 2 9 w d X M v R 2 X D p G 5 k Z X J 0 Z X I g V H l w L n t Q Y W d l I G N v d W 5 0 L D E w f S Z x d W 9 0 O y w m c X V v d D t T Z W N 0 a W 9 u M S 9 z Y 2 9 w d X M v R 2 X D p G 5 k Z X J 0 Z X I g V H l w L n t D a X R l Z C B i e S w x M X 0 m c X V v d D s s J n F 1 b 3 Q 7 U 2 V j d G l v b j E v c 2 N v c H V z L 0 d l w 6 R u Z G V y d G V y I F R 5 c C 5 7 R E 9 J L D E y f S Z x d W 9 0 O y w m c X V v d D t T Z W N 0 a W 9 u M S 9 z Y 2 9 w d X M v R 2 X D p G 5 k Z X J 0 Z X I g V H l w L n t M a W 5 r L D E z f S Z x d W 9 0 O y w m c X V v d D t T Z W N 0 a W 9 u M S 9 z Y 2 9 w d X M v R 2 X D p G 5 k Z X J 0 Z X I g V H l w L n t B Z m Z p b G l h d G l v b n M s M T R 9 J n F 1 b 3 Q 7 L C Z x d W 9 0 O 1 N l Y 3 R p b 2 4 x L 3 N j b 3 B 1 c y 9 H Z c O k b m R l c n R l c i B U e X A u e 0 F 1 d G h v c n M g d 2 l 0 a C B h Z m Z p b G l h d G l v b n M s M T V 9 J n F 1 b 3 Q 7 L C Z x d W 9 0 O 1 N l Y 3 R p b 2 4 x L 3 N j b 3 B 1 c y 9 H Z c O k b m R l c n R l c i B U e X A u e 0 F i c 3 R y Y W N 0 L D E 2 f S Z x d W 9 0 O y w m c X V v d D t T Z W N 0 a W 9 u M S 9 z Y 2 9 w d X M v R 2 X D p G 5 k Z X J 0 Z X I g V H l w L n t B d X R o b 3 I g S 2 V 5 d 2 9 y Z H M s M T d 9 J n F 1 b 3 Q 7 L C Z x d W 9 0 O 1 N l Y 3 R p b 2 4 x L 3 N j b 3 B 1 c y 9 H Z c O k b m R l c n R l c i B U e X A u e 0 l u Z G V 4 I E t l e X d v c m R z L D E 4 f S Z x d W 9 0 O y w m c X V v d D t T Z W N 0 a W 9 u M S 9 z Y 2 9 w d X M v R 2 X D p G 5 k Z X J 0 Z X I g V H l w L n t E b 2 N 1 b W V u d C B U e X B l L D E 5 f S Z x d W 9 0 O y w m c X V v d D t T Z W N 0 a W 9 u M S 9 z Y 2 9 w d X M v R 2 X D p G 5 k Z X J 0 Z X I g V H l w L n t Q d W J s a W N h d G l v b i B T d G F n Z S w y M H 0 m c X V v d D s s J n F 1 b 3 Q 7 U 2 V j d G l v b j E v c 2 N v c H V z L 0 d l w 6 R u Z G V y d G V y I F R 5 c C 5 7 T 3 B l b i B B Y 2 N l c 3 M s M j F 9 J n F 1 b 3 Q 7 L C Z x d W 9 0 O 1 N l Y 3 R p b 2 4 x L 3 N j b 3 B 1 c y 9 H Z c O k b m R l c n R l c i B U e X A u e 1 N v d X J j Z S w y M n 0 m c X V v d D s s J n F 1 b 3 Q 7 U 2 V j d G l v b j E v c 2 N v c H V z L 0 d l w 6 R u Z G V y d G V y I F R 5 c C 5 7 R U l E L D I z f S Z x d W 9 0 O 1 0 s J n F 1 b 3 Q 7 U m V s Y X R p b 2 5 z a G l w S W 5 m b y Z x d W 9 0 O z p b X X 0 i I C 8 + P C 9 T d G F i b G V F b n R y a W V z P j w v S X R l b T 4 8 S X R l b T 4 8 S X R l b U x v Y 2 F 0 a W 9 u P j x J d G V t V H l w Z T 5 G b 3 J t d W x h P C 9 J d G V t V H l w Z T 4 8 S X R l b V B h d G g + U 2 V j d G l v b j E v c 2 N v c H V z L 1 F 1 Z W x s Z T w v S X R l b V B h d G g + P C 9 J d G V t T G 9 j Y X R p b 2 4 + P F N 0 Y W J s Z U V u d H J p Z X M g L z 4 8 L 0 l 0 Z W 0 + P E l 0 Z W 0 + P E l 0 Z W 1 M b 2 N h d G l v b j 4 8 S X R l b V R 5 c G U + R m 9 y b X V s Y T w v S X R l b V R 5 c G U + P E l 0 Z W 1 Q Y X R o P l N l Y 3 R p b 2 4 x L 3 N j b 3 B 1 c y 9 I J U M z J U I 2 a G V y J T I w Z 2 V z d H V m d G U l M j B I Z W F k Z X I 8 L 0 l 0 Z W 1 Q Y X R o P j w v S X R l b U x v Y 2 F 0 a W 9 u P j x T d G F i b G V F b n R y a W V z I C 8 + P C 9 J d G V t P j x J d G V t P j x J d G V t T G 9 j Y X R p b 2 4 + P E l 0 Z W 1 U e X B l P k Z v c m 1 1 b G E 8 L 0 l 0 Z W 1 U e X B l P j x J d G V t U G F 0 a D 5 T Z W N 0 a W 9 u M S 9 z Y 2 9 w d X M v R 2 U l Q z M l Q T R u Z G V y d G V y J T I w V H l w P C 9 J d G V t U G F 0 a D 4 8 L 0 l 0 Z W 1 M b 2 N h d G l v b j 4 8 U 3 R h Y m x l R W 5 0 c m l l c y A v P j w v S X R l b T 4 8 S X R l b T 4 8 S X R l b U x v Y 2 F 0 a W 9 u P j x J d G V t V H l w Z T 5 G b 3 J t d W x h P C 9 J d G V t V H l w Z T 4 8 S X R l b V B h d G g + U 2 V j d G l v b j E v c 2 F 2 Z W R y Z W N 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T A 1 I i A v P j x F b n R y e S B U e X B l P S J G a W x s R X J y b 3 J D b 2 R l I i B W Y W x 1 Z T 0 i c 1 V u a 2 5 v d 2 4 i I C 8 + P E V u d H J 5 I F R 5 c G U 9 I k Z p b G x F c n J v c k N v d W 5 0 I i B W Y W x 1 Z T 0 i b D A i I C 8 + P E V u d H J 5 I F R 5 c G U 9 I k Z p b G x M Y X N 0 V X B k Y X R l Z C I g V m F s d W U 9 I m Q y M D I y L T A 0 L T A x V D A 4 O j I 4 O j I x L j A 4 M T I 2 M z B a I i A v P j x F b n R y e S B U e X B l P S J G a W x s Q 2 9 s d W 1 u V H l w Z X M i I F Z h b H V l P S J z Q m d Z R 0 J n W U d C Z 1 l H Q m d Z R 0 J n W U d C Z 1 l H Q m d Z R 0 J n W U d C Z 1 l H Q m d Z R 0 J n W U d C Z 1 l H Q m d Z R 0 J n W U d C Z 1 l H Q X d Z R 0 J n W U d C Z 0 1 H Q m d Z R 0 N R W U d C Z 1 l H Q m d N R 0 J n W U d C Z z 0 9 I i A v P j x F b n R y e S B U e X B l P S J G a W x s Q 2 9 s d W 1 u T m F t Z X M i I F Z h b H V l P S J z W y Z x d W 9 0 O 1 B 1 Y m x p Y 2 F 0 a W 9 u I F R 5 c G U m c X V v d D s s J n F 1 b 3 Q 7 Q X V 0 a G 9 y c y Z x d W 9 0 O y w m c X V v d D t C b 2 9 r I E F 1 d G h v c n M m c X V v d D s s J n F 1 b 3 Q 7 Q m 9 v a y B F Z G l 0 b 3 J z J n F 1 b 3 Q 7 L C Z x d W 9 0 O 0 J v b 2 s g R 3 J v d X A g Q X V 0 a G 9 y c y Z x d W 9 0 O y w m c X V v d D t B d X R o b 3 I g R n V s b C B O Y W 1 l c y Z x d W 9 0 O y w m c X V v d D t C b 2 9 r I E F 1 d G h v c i B G d W x s I E 5 h b W V z J n F 1 b 3 Q 7 L C Z x d W 9 0 O 0 d y b 3 V w I E F 1 d G h v c n M m c X V v d D s s J n F 1 b 3 Q 7 Q X J 0 a W N s Z S B U a X R s Z S Z x d W 9 0 O y w m c X V v d D t T b 3 V y Y 2 U g V G l 0 b G U m c X V v d D s s J n F 1 b 3 Q 7 Q m 9 v a y B T Z X J p Z X M g V G l 0 b G U m c X V v d D s s J n F 1 b 3 Q 7 Q m 9 v a y B T Z X J p Z X M g U 3 V i d G l 0 b G U m c X V v d D s s J n F 1 b 3 Q 7 T G F u Z 3 V h Z 2 U m c X V v d D s s J n F 1 b 3 Q 7 R G 9 j d W 1 l b n Q g V H l w Z S Z x d W 9 0 O y w m c X V v d D t D b 2 5 m Z X J l b m N l I F R p d G x l J n F 1 b 3 Q 7 L C Z x d W 9 0 O 0 N v b m Z l c m V u Y 2 U g R G F 0 Z S Z x d W 9 0 O y w m c X V v d D t D b 2 5 m Z X J l b m N l I E x v Y 2 F 0 a W 9 u J n F 1 b 3 Q 7 L C Z x d W 9 0 O 0 N v b m Z l c m V u Y 2 U g U 3 B v b n N v c i Z x d W 9 0 O y w m c X V v d D t D b 2 5 m Z X J l b m N l I E h v c 3 Q m c X V v d D s s J n F 1 b 3 Q 7 Q X V 0 a G 9 y I E t l e X d v c m R z J n F 1 b 3 Q 7 L C Z x d W 9 0 O 0 t l e X d v c m R z I F B s d X M m c X V v d D s s J n F 1 b 3 Q 7 Q W J z d H J h Y 3 Q m c X V v d D s s J n F 1 b 3 Q 7 Q W R k c m V z c 2 V z J n F 1 b 3 Q 7 L C Z x d W 9 0 O 0 F m Z m l s a W F 0 a W 9 u c y Z x d W 9 0 O y w m c X V v d D t S Z X B y a W 5 0 I E F k Z H J l c 3 N l c y Z x d W 9 0 O y w m c X V v d D t F b W F p b C B B Z G R y Z X N z Z X M m c X V v d D s s J n F 1 b 3 Q 7 U m V z Z W F y Y 2 h l c i B J Z H M m c X V v d D s s J n F 1 b 3 Q 7 T 1 J D S U R z J n F 1 b 3 Q 7 L C Z x d W 9 0 O 0 Z 1 b m R p b m c g T 3 J n c y Z x d W 9 0 O y w m c X V v d D t G d W 5 k a W 5 n I F R l e H Q m c X V v d D s s J n F 1 b 3 Q 7 Q 2 l 0 Z W Q g U m V m Z X J l b m N l c y Z x d W 9 0 O y w m c X V v d D t D a X R l Z C B S Z W Z l c m V u Y 2 U g Q 2 9 1 b n Q m c X V v d D s s J n F 1 b 3 Q 7 V G l t Z X M g Q 2 l 0 Z W Q s I F d v U y B D b 3 J l J n F 1 b 3 Q 7 L C Z x d W 9 0 O 1 R p b W V z I E N p d G V k L C B B b G w g R G F 0 Y W J h c 2 V z J n F 1 b 3 Q 7 L C Z x d W 9 0 O z E 4 M C B E Y X k g V X N h Z 2 U g Q 2 9 1 b n Q m c X V v d D s s J n F 1 b 3 Q 7 U 2 l u Y 2 U g M j A x M y B V c 2 F n Z S B D b 3 V u d C Z x d W 9 0 O y w m c X V v d D t Q d W J s a X N o Z X I m c X V v d D s s J n F 1 b 3 Q 7 U H V i b G l z a G V y I E N p d H k m c X V v d D s s J n F 1 b 3 Q 7 U H V i b G l z a G V y I E F k Z H J l c 3 M m c X V v d D s s J n F 1 b 3 Q 7 S V N T T i Z x d W 9 0 O y w m c X V v d D t l S V N T T i Z x d W 9 0 O y w m c X V v d D t J U 0 J O J n F 1 b 3 Q 7 L C Z x d W 9 0 O 0 p v d X J u Y W w g Q W J i c m V 2 a W F 0 a W 9 u J n F 1 b 3 Q 7 L C Z x d W 9 0 O 0 p v d X J u Y W w g S V N P I E F i Y n J l d m l h d G l v b i Z x d W 9 0 O y w m c X V v d D t Q d W J s a W N h d G l v b i B E Y X R l J n F 1 b 3 Q 7 L C Z x d W 9 0 O 1 B 1 Y m x p Y 2 F 0 a W 9 u I F l l Y X I m c X V v d D s s J n F 1 b 3 Q 7 V m 9 s d W 1 l J n F 1 b 3 Q 7 L C Z x d W 9 0 O 0 l z c 3 V l J n F 1 b 3 Q 7 L C Z x d W 9 0 O 1 B h c n Q g T n V t Y m V y J n F 1 b 3 Q 7 L C Z x d W 9 0 O 1 N 1 c H B s Z W 1 l b n Q m c X V v d D s s J n F 1 b 3 Q 7 U 3 B l Y 2 l h b C B J c 3 N 1 Z S Z x d W 9 0 O y w m c X V v d D t N Z W V 0 a W 5 n I E F i c 3 R y Y W N 0 J n F 1 b 3 Q 7 L C Z x d W 9 0 O 1 N 0 Y X J 0 I F B h Z 2 U m c X V v d D s s J n F 1 b 3 Q 7 R W 5 k I F B h Z 2 U m c X V v d D s s J n F 1 b 3 Q 7 Q X J 0 a W N s Z S B O d W 1 i Z X I m c X V v d D s s J n F 1 b 3 Q 7 R E 9 J J n F 1 b 3 Q 7 L C Z x d W 9 0 O 0 J v b 2 s g R E 9 J J n F 1 b 3 Q 7 L C Z x d W 9 0 O 0 V h c m x 5 I E F j Y 2 V z c y B E Y X R l J n F 1 b 3 Q 7 L C Z x d W 9 0 O 0 5 1 b W J l c i B v Z i B Q Y W d l c y Z x d W 9 0 O y w m c X V v d D t X b 1 M g Q 2 F 0 Z W d v c m l l c y Z x d W 9 0 O y w m c X V v d D t X Z W I g b 2 Y g U 2 N p Z W 5 j Z S B J b m R l e C Z x d W 9 0 O y w m c X V v d D t S Z X N l Y X J j a C B B c m V h c y Z x d W 9 0 O y w m c X V v d D t J R F M g T n V t Y m V y J n F 1 b 3 Q 7 L C Z x d W 9 0 O 1 V U I C h V b m l x d W U g V 0 9 T I E l E K S Z x d W 9 0 O y w m c X V v d D t Q d W J t Z W Q g S W Q m c X V v d D s s J n F 1 b 3 Q 7 T 3 B l b i B B Y 2 N l c 3 M g R G V z a W d u Y X R p b 2 5 z J n F 1 b 3 Q 7 L C Z x d W 9 0 O 0 h p Z 2 h s e S B D a X R l Z C B T d G F 0 d X M m c X V v d D s s J n F 1 b 3 Q 7 S G 9 0 I F B h c G V y I F N 0 Y X R 1 c y Z x d W 9 0 O y w m c X V v d D t E Y X R l I G 9 m I E V 4 c G 9 y d C Z x d W 9 0 O y w m c X V v d D t D b 2 x 1 b W 4 3 M C Z x d W 9 0 O 1 0 i I C 8 + P E V u d H J 5 I F R 5 c G U 9 I k Z p b G x T d G F 0 d X M i I F Z h b H V l P S J z Q 2 9 t c G x l d G U i I C 8 + P E V u d H J 5 I F R 5 c G U 9 I l J l b G F 0 a W 9 u c 2 h p c E l u Z m 9 D b 2 5 0 Y W l u Z X I i I F Z h b H V l P S J z e y Z x d W 9 0 O 2 N v b H V t b k N v d W 5 0 J n F 1 b 3 Q 7 O j c w L C Z x d W 9 0 O 2 t l e U N v b H V t b k 5 h b W V z J n F 1 b 3 Q 7 O l t d L C Z x d W 9 0 O 3 F 1 Z X J 5 U m V s Y X R p b 2 5 z a G l w c y Z x d W 9 0 O z p b X S w m c X V v d D t j b 2 x 1 b W 5 J Z G V u d G l 0 a W V z J n F 1 b 3 Q 7 O l s m c X V v d D t T Z W N 0 a W 9 u M S 9 z Y X Z l Z H J l Y 3 M v R 2 X D p G 5 k Z X J 0 Z X I g V H l w L n t Q d W J s a W N h d G l v b i B U e X B l L D B 9 J n F 1 b 3 Q 7 L C Z x d W 9 0 O 1 N l Y 3 R p b 2 4 x L 3 N h d m V k c m V j c y 9 H Z c O k b m R l c n R l c i B U e X A u e 0 F 1 d G h v c n M s M X 0 m c X V v d D s s J n F 1 b 3 Q 7 U 2 V j d G l v b j E v c 2 F 2 Z W R y Z W N z L 0 d l w 6 R u Z G V y d G V y I F R 5 c C 5 7 Q m 9 v a y B B d X R o b 3 J z L D J 9 J n F 1 b 3 Q 7 L C Z x d W 9 0 O 1 N l Y 3 R p b 2 4 x L 3 N h d m V k c m V j c y 9 H Z c O k b m R l c n R l c i B U e X A u e 0 J v b 2 s g R W R p d G 9 y c y w z f S Z x d W 9 0 O y w m c X V v d D t T Z W N 0 a W 9 u M S 9 z Y X Z l Z H J l Y 3 M v R 2 X D p G 5 k Z X J 0 Z X I g V H l w L n t C b 2 9 r I E d y b 3 V w I E F 1 d G h v c n M s N H 0 m c X V v d D s s J n F 1 b 3 Q 7 U 2 V j d G l v b j E v c 2 F 2 Z W R y Z W N z L 0 d l w 6 R u Z G V y d G V y I F R 5 c C 5 7 Q X V 0 a G 9 y I E Z 1 b G w g T m F t Z X M s N X 0 m c X V v d D s s J n F 1 b 3 Q 7 U 2 V j d G l v b j E v c 2 F 2 Z W R y Z W N z L 0 d l w 6 R u Z G V y d G V y I F R 5 c C 5 7 Q m 9 v a y B B d X R o b 3 I g R n V s b C B O Y W 1 l c y w 2 f S Z x d W 9 0 O y w m c X V v d D t T Z W N 0 a W 9 u M S 9 z Y X Z l Z H J l Y 3 M v R 2 X D p G 5 k Z X J 0 Z X I g V H l w L n t H c m 9 1 c C B B d X R o b 3 J z L D d 9 J n F 1 b 3 Q 7 L C Z x d W 9 0 O 1 N l Y 3 R p b 2 4 x L 3 N h d m V k c m V j c y 9 H Z c O k b m R l c n R l c i B U e X A u e 0 F y d G l j b G U g V G l 0 b G U s O H 0 m c X V v d D s s J n F 1 b 3 Q 7 U 2 V j d G l v b j E v c 2 F 2 Z W R y Z W N z L 0 d l w 6 R u Z G V y d G V y I F R 5 c C 5 7 U 2 9 1 c m N l I F R p d G x l L D l 9 J n F 1 b 3 Q 7 L C Z x d W 9 0 O 1 N l Y 3 R p b 2 4 x L 3 N h d m V k c m V j c y 9 H Z c O k b m R l c n R l c i B U e X A u e 0 J v b 2 s g U 2 V y a W V z I F R p d G x l L D E w f S Z x d W 9 0 O y w m c X V v d D t T Z W N 0 a W 9 u M S 9 z Y X Z l Z H J l Y 3 M v R 2 X D p G 5 k Z X J 0 Z X I g V H l w L n t C b 2 9 r I F N l c m l l c y B T d W J 0 a X R s Z S w x M X 0 m c X V v d D s s J n F 1 b 3 Q 7 U 2 V j d G l v b j E v c 2 F 2 Z W R y Z W N z L 0 d l w 6 R u Z G V y d G V y I F R 5 c C 5 7 T G F u Z 3 V h Z 2 U s M T J 9 J n F 1 b 3 Q 7 L C Z x d W 9 0 O 1 N l Y 3 R p b 2 4 x L 3 N h d m V k c m V j c y 9 H Z c O k b m R l c n R l c i B U e X A u e 0 R v Y 3 V t Z W 5 0 I F R 5 c G U s M T N 9 J n F 1 b 3 Q 7 L C Z x d W 9 0 O 1 N l Y 3 R p b 2 4 x L 3 N h d m V k c m V j c y 9 H Z c O k b m R l c n R l c i B U e X A u e 0 N v b m Z l c m V u Y 2 U g V G l 0 b G U s M T R 9 J n F 1 b 3 Q 7 L C Z x d W 9 0 O 1 N l Y 3 R p b 2 4 x L 3 N h d m V k c m V j c y 9 H Z c O k b m R l c n R l c i B U e X A u e 0 N v b m Z l c m V u Y 2 U g R G F 0 Z S w x N X 0 m c X V v d D s s J n F 1 b 3 Q 7 U 2 V j d G l v b j E v c 2 F 2 Z W R y Z W N z L 0 d l w 6 R u Z G V y d G V y I F R 5 c C 5 7 Q 2 9 u Z m V y Z W 5 j Z S B M b 2 N h d G l v b i w x N n 0 m c X V v d D s s J n F 1 b 3 Q 7 U 2 V j d G l v b j E v c 2 F 2 Z W R y Z W N z L 0 d l w 6 R u Z G V y d G V y I F R 5 c C 5 7 Q 2 9 u Z m V y Z W 5 j Z S B T c G 9 u c 2 9 y L D E 3 f S Z x d W 9 0 O y w m c X V v d D t T Z W N 0 a W 9 u M S 9 z Y X Z l Z H J l Y 3 M v R 2 X D p G 5 k Z X J 0 Z X I g V H l w L n t D b 2 5 m Z X J l b m N l I E h v c 3 Q s M T h 9 J n F 1 b 3 Q 7 L C Z x d W 9 0 O 1 N l Y 3 R p b 2 4 x L 3 N h d m V k c m V j c y 9 H Z c O k b m R l c n R l c i B U e X A u e 0 F 1 d G h v c i B L Z X l 3 b 3 J k c y w x O X 0 m c X V v d D s s J n F 1 b 3 Q 7 U 2 V j d G l v b j E v c 2 F 2 Z W R y Z W N z L 0 d l w 6 R u Z G V y d G V y I F R 5 c C 5 7 S 2 V 5 d 2 9 y Z H M g U G x 1 c y w y M H 0 m c X V v d D s s J n F 1 b 3 Q 7 U 2 V j d G l v b j E v c 2 F 2 Z W R y Z W N z L 0 d l w 6 R u Z G V y d G V y I F R 5 c C 5 7 Q W J z d H J h Y 3 Q s M j F 9 J n F 1 b 3 Q 7 L C Z x d W 9 0 O 1 N l Y 3 R p b 2 4 x L 3 N h d m V k c m V j c y 9 H Z c O k b m R l c n R l c i B U e X A u e 0 F k Z H J l c 3 N l c y w y M n 0 m c X V v d D s s J n F 1 b 3 Q 7 U 2 V j d G l v b j E v c 2 F 2 Z W R y Z W N z L 0 d l w 6 R u Z G V y d G V y I F R 5 c C 5 7 Q W Z m a W x p Y X R p b 2 5 z L D I z f S Z x d W 9 0 O y w m c X V v d D t T Z W N 0 a W 9 u M S 9 z Y X Z l Z H J l Y 3 M v R 2 X D p G 5 k Z X J 0 Z X I g V H l w L n t S Z X B y a W 5 0 I E F k Z H J l c 3 N l c y w y N H 0 m c X V v d D s s J n F 1 b 3 Q 7 U 2 V j d G l v b j E v c 2 F 2 Z W R y Z W N z L 0 d l w 6 R u Z G V y d G V y I F R 5 c C 5 7 R W 1 h a W w g Q W R k c m V z c 2 V z L D I 1 f S Z x d W 9 0 O y w m c X V v d D t T Z W N 0 a W 9 u M S 9 z Y X Z l Z H J l Y 3 M v R 2 X D p G 5 k Z X J 0 Z X I g V H l w L n t S Z X N l Y X J j a G V y I E l k c y w y N n 0 m c X V v d D s s J n F 1 b 3 Q 7 U 2 V j d G l v b j E v c 2 F 2 Z W R y Z W N z L 0 d l w 6 R u Z G V y d G V y I F R 5 c C 5 7 T 1 J D S U R z L D I 3 f S Z x d W 9 0 O y w m c X V v d D t T Z W N 0 a W 9 u M S 9 z Y X Z l Z H J l Y 3 M v R 2 X D p G 5 k Z X J 0 Z X I g V H l w L n t G d W 5 k a W 5 n I E 9 y Z 3 M s M j h 9 J n F 1 b 3 Q 7 L C Z x d W 9 0 O 1 N l Y 3 R p b 2 4 x L 3 N h d m V k c m V j c y 9 H Z c O k b m R l c n R l c i B U e X A u e 0 Z 1 b m R p b m c g V G V 4 d C w y O X 0 m c X V v d D s s J n F 1 b 3 Q 7 U 2 V j d G l v b j E v c 2 F 2 Z W R y Z W N z L 0 d l w 6 R u Z G V y d G V y I F R 5 c C 5 7 Q 2 l 0 Z W Q g U m V m Z X J l b m N l c y w z M H 0 m c X V v d D s s J n F 1 b 3 Q 7 U 2 V j d G l v b j E v c 2 F 2 Z W R y Z W N z L 0 d l w 6 R u Z G V y d G V y I F R 5 c C 5 7 Q 2 l 0 Z W Q g U m V m Z X J l b m N l I E N v d W 5 0 L D M x f S Z x d W 9 0 O y w m c X V v d D t T Z W N 0 a W 9 u M S 9 z Y X Z l Z H J l Y 3 M v R 2 X D p G 5 k Z X J 0 Z X I g V H l w L n t U a W 1 l c y B D a X R l Z C w g V 2 9 T I E N v c m U s M z J 9 J n F 1 b 3 Q 7 L C Z x d W 9 0 O 1 N l Y 3 R p b 2 4 x L 3 N h d m V k c m V j c y 9 H Z c O k b m R l c n R l c i B U e X A u e 1 R p b W V z I E N p d G V k L C B B b G w g R G F 0 Y W J h c 2 V z L D M z f S Z x d W 9 0 O y w m c X V v d D t T Z W N 0 a W 9 u M S 9 z Y X Z l Z H J l Y 3 M v R 2 X D p G 5 k Z X J 0 Z X I g V H l w L n s x O D A g R G F 5 I F V z Y W d l I E N v d W 5 0 L D M 0 f S Z x d W 9 0 O y w m c X V v d D t T Z W N 0 a W 9 u M S 9 z Y X Z l Z H J l Y 3 M v R 2 X D p G 5 k Z X J 0 Z X I g V H l w L n t T a W 5 j Z S A y M D E z I F V z Y W d l I E N v d W 5 0 L D M 1 f S Z x d W 9 0 O y w m c X V v d D t T Z W N 0 a W 9 u M S 9 z Y X Z l Z H J l Y 3 M v R 2 X D p G 5 k Z X J 0 Z X I g V H l w L n t Q d W J s a X N o Z X I s M z Z 9 J n F 1 b 3 Q 7 L C Z x d W 9 0 O 1 N l Y 3 R p b 2 4 x L 3 N h d m V k c m V j c y 9 H Z c O k b m R l c n R l c i B U e X A u e 1 B 1 Y m x p c 2 h l c i B D a X R 5 L D M 3 f S Z x d W 9 0 O y w m c X V v d D t T Z W N 0 a W 9 u M S 9 z Y X Z l Z H J l Y 3 M v R 2 X D p G 5 k Z X J 0 Z X I g V H l w L n t Q d W J s a X N o Z X I g Q W R k c m V z c y w z O H 0 m c X V v d D s s J n F 1 b 3 Q 7 U 2 V j d G l v b j E v c 2 F 2 Z W R y Z W N z L 0 d l w 6 R u Z G V y d G V y I F R 5 c C 5 7 S V N T T i w z O X 0 m c X V v d D s s J n F 1 b 3 Q 7 U 2 V j d G l v b j E v c 2 F 2 Z W R y Z W N z L 0 d l w 6 R u Z G V y d G V y I F R 5 c C 5 7 Z U l T U 0 4 s N D B 9 J n F 1 b 3 Q 7 L C Z x d W 9 0 O 1 N l Y 3 R p b 2 4 x L 3 N h d m V k c m V j c y 9 H Z c O k b m R l c n R l c i B U e X A u e 0 l T Q k 4 s N D F 9 J n F 1 b 3 Q 7 L C Z x d W 9 0 O 1 N l Y 3 R p b 2 4 x L 3 N h d m V k c m V j c y 9 H Z c O k b m R l c n R l c i B U e X A u e 0 p v d X J u Y W w g Q W J i c m V 2 a W F 0 a W 9 u L D Q y f S Z x d W 9 0 O y w m c X V v d D t T Z W N 0 a W 9 u M S 9 z Y X Z l Z H J l Y 3 M v R 2 X D p G 5 k Z X J 0 Z X I g V H l w L n t K b 3 V y b m F s I E l T T y B B Y m J y Z X Z p Y X R p b 2 4 s N D N 9 J n F 1 b 3 Q 7 L C Z x d W 9 0 O 1 N l Y 3 R p b 2 4 x L 3 N h d m V k c m V j c y 9 H Z c O k b m R l c n R l c i B U e X A u e 1 B 1 Y m x p Y 2 F 0 a W 9 u I E R h d G U s N D R 9 J n F 1 b 3 Q 7 L C Z x d W 9 0 O 1 N l Y 3 R p b 2 4 x L 3 N h d m V k c m V j c y 9 H Z c O k b m R l c n R l c i B U e X A u e 1 B 1 Y m x p Y 2 F 0 a W 9 u I F l l Y X I s N D V 9 J n F 1 b 3 Q 7 L C Z x d W 9 0 O 1 N l Y 3 R p b 2 4 x L 3 N h d m V k c m V j c y 9 H Z c O k b m R l c n R l c i B U e X A u e 1 Z v b H V t Z S w 0 N n 0 m c X V v d D s s J n F 1 b 3 Q 7 U 2 V j d G l v b j E v c 2 F 2 Z W R y Z W N z L 0 d l w 6 R u Z G V y d G V y I F R 5 c C 5 7 S X N z d W U s N D d 9 J n F 1 b 3 Q 7 L C Z x d W 9 0 O 1 N l Y 3 R p b 2 4 x L 3 N h d m V k c m V j c y 9 H Z c O k b m R l c n R l c i B U e X A u e 1 B h c n Q g T n V t Y m V y L D Q 4 f S Z x d W 9 0 O y w m c X V v d D t T Z W N 0 a W 9 u M S 9 z Y X Z l Z H J l Y 3 M v R 2 X D p G 5 k Z X J 0 Z X I g V H l w L n t T d X B w b G V t Z W 5 0 L D Q 5 f S Z x d W 9 0 O y w m c X V v d D t T Z W N 0 a W 9 u M S 9 z Y X Z l Z H J l Y 3 M v R 2 X D p G 5 k Z X J 0 Z X I g V H l w L n t T c G V j a W F s I E l z c 3 V l L D U w f S Z x d W 9 0 O y w m c X V v d D t T Z W N 0 a W 9 u M S 9 z Y X Z l Z H J l Y 3 M v R 2 X D p G 5 k Z X J 0 Z X I g V H l w L n t N Z W V 0 a W 5 n I E F i c 3 R y Y W N 0 L D U x f S Z x d W 9 0 O y w m c X V v d D t T Z W N 0 a W 9 u M S 9 z Y X Z l Z H J l Y 3 M v R 2 X D p G 5 k Z X J 0 Z X I g V H l w L n t T d G F y d C B Q Y W d l L D U y f S Z x d W 9 0 O y w m c X V v d D t T Z W N 0 a W 9 u M S 9 z Y X Z l Z H J l Y 3 M v R 2 X D p G 5 k Z X J 0 Z X I g V H l w L n t F b m Q g U G F n Z S w 1 M 3 0 m c X V v d D s s J n F 1 b 3 Q 7 U 2 V j d G l v b j E v c 2 F 2 Z W R y Z W N z L 0 d l w 6 R u Z G V y d G V y I F R 5 c C 5 7 Q X J 0 a W N s Z S B O d W 1 i Z X I s N T R 9 J n F 1 b 3 Q 7 L C Z x d W 9 0 O 1 N l Y 3 R p b 2 4 x L 3 N h d m V k c m V j c y 9 H Z c O k b m R l c n R l c i B U e X A u e 0 R P S S w 1 N X 0 m c X V v d D s s J n F 1 b 3 Q 7 U 2 V j d G l v b j E v c 2 F 2 Z W R y Z W N z L 0 d l w 6 R u Z G V y d G V y I F R 5 c C 5 7 Q m 9 v a y B E T 0 k s N T Z 9 J n F 1 b 3 Q 7 L C Z x d W 9 0 O 1 N l Y 3 R p b 2 4 x L 3 N h d m V k c m V j c y 9 H Z c O k b m R l c n R l c i B U e X A u e 0 V h c m x 5 I E F j Y 2 V z c y B E Y X R l L D U 3 f S Z x d W 9 0 O y w m c X V v d D t T Z W N 0 a W 9 u M S 9 z Y X Z l Z H J l Y 3 M v R 2 X D p G 5 k Z X J 0 Z X I g V H l w L n t O d W 1 i Z X I g b 2 Y g U G F n Z X M s N T h 9 J n F 1 b 3 Q 7 L C Z x d W 9 0 O 1 N l Y 3 R p b 2 4 x L 3 N h d m V k c m V j c y 9 H Z c O k b m R l c n R l c i B U e X A u e 1 d v U y B D Y X R l Z 2 9 y a W V z L D U 5 f S Z x d W 9 0 O y w m c X V v d D t T Z W N 0 a W 9 u M S 9 z Y X Z l Z H J l Y 3 M v R 2 X D p G 5 k Z X J 0 Z X I g V H l w L n t X Z W I g b 2 Y g U 2 N p Z W 5 j Z S B J b m R l e C w 2 M H 0 m c X V v d D s s J n F 1 b 3 Q 7 U 2 V j d G l v b j E v c 2 F 2 Z W R y Z W N z L 0 d l w 6 R u Z G V y d G V y I F R 5 c C 5 7 U m V z Z W F y Y 2 g g Q X J l Y X M s N j F 9 J n F 1 b 3 Q 7 L C Z x d W 9 0 O 1 N l Y 3 R p b 2 4 x L 3 N h d m V k c m V j c y 9 H Z c O k b m R l c n R l c i B U e X A u e 0 l E U y B O d W 1 i Z X I s N j J 9 J n F 1 b 3 Q 7 L C Z x d W 9 0 O 1 N l Y 3 R p b 2 4 x L 3 N h d m V k c m V j c y 9 H Z c O k b m R l c n R l c i B U e X A u e 1 V U I C h V b m l x d W U g V 0 9 T I E l E K S w 2 M 3 0 m c X V v d D s s J n F 1 b 3 Q 7 U 2 V j d G l v b j E v c 2 F 2 Z W R y Z W N z L 0 d l w 6 R u Z G V y d G V y I F R 5 c C 5 7 U H V i b W V k I E l k L D Y 0 f S Z x d W 9 0 O y w m c X V v d D t T Z W N 0 a W 9 u M S 9 z Y X Z l Z H J l Y 3 M v R 2 X D p G 5 k Z X J 0 Z X I g V H l w L n t P c G V u I E F j Y 2 V z c y B E Z X N p Z 2 5 h d G l v b n M s N j V 9 J n F 1 b 3 Q 7 L C Z x d W 9 0 O 1 N l Y 3 R p b 2 4 x L 3 N h d m V k c m V j c y 9 H Z c O k b m R l c n R l c i B U e X A u e 0 h p Z 2 h s e S B D a X R l Z C B T d G F 0 d X M s N j Z 9 J n F 1 b 3 Q 7 L C Z x d W 9 0 O 1 N l Y 3 R p b 2 4 x L 3 N h d m V k c m V j c y 9 H Z c O k b m R l c n R l c i B U e X A u e 0 h v d C B Q Y X B l c i B T d G F 0 d X M s N j d 9 J n F 1 b 3 Q 7 L C Z x d W 9 0 O 1 N l Y 3 R p b 2 4 x L 3 N h d m V k c m V j c y 9 H Z c O k b m R l c n R l c i B U e X A u e 0 R h d G U g b 2 Y g R X h w b 3 J 0 L D Y 4 f S Z x d W 9 0 O y w m c X V v d D t T Z W N 0 a W 9 u M S 9 z Y X Z l Z H J l Y 3 M v R 2 X D p G 5 k Z X J 0 Z X I g V H l w L n t D b 2 x 1 b W 4 3 M C w 2 O X 0 m c X V v d D t d L C Z x d W 9 0 O 0 N v b H V t b k N v d W 5 0 J n F 1 b 3 Q 7 O j c w L C Z x d W 9 0 O 0 t l e U N v b H V t b k 5 h b W V z J n F 1 b 3 Q 7 O l t d L C Z x d W 9 0 O 0 N v b H V t b k l k Z W 5 0 a X R p Z X M m c X V v d D s 6 W y Z x d W 9 0 O 1 N l Y 3 R p b 2 4 x L 3 N h d m V k c m V j c y 9 H Z c O k b m R l c n R l c i B U e X A u e 1 B 1 Y m x p Y 2 F 0 a W 9 u I F R 5 c G U s M H 0 m c X V v d D s s J n F 1 b 3 Q 7 U 2 V j d G l v b j E v c 2 F 2 Z W R y Z W N z L 0 d l w 6 R u Z G V y d G V y I F R 5 c C 5 7 Q X V 0 a G 9 y c y w x f S Z x d W 9 0 O y w m c X V v d D t T Z W N 0 a W 9 u M S 9 z Y X Z l Z H J l Y 3 M v R 2 X D p G 5 k Z X J 0 Z X I g V H l w L n t C b 2 9 r I E F 1 d G h v c n M s M n 0 m c X V v d D s s J n F 1 b 3 Q 7 U 2 V j d G l v b j E v c 2 F 2 Z W R y Z W N z L 0 d l w 6 R u Z G V y d G V y I F R 5 c C 5 7 Q m 9 v a y B F Z G l 0 b 3 J z L D N 9 J n F 1 b 3 Q 7 L C Z x d W 9 0 O 1 N l Y 3 R p b 2 4 x L 3 N h d m V k c m V j c y 9 H Z c O k b m R l c n R l c i B U e X A u e 0 J v b 2 s g R 3 J v d X A g Q X V 0 a G 9 y c y w 0 f S Z x d W 9 0 O y w m c X V v d D t T Z W N 0 a W 9 u M S 9 z Y X Z l Z H J l Y 3 M v R 2 X D p G 5 k Z X J 0 Z X I g V H l w L n t B d X R o b 3 I g R n V s b C B O Y W 1 l c y w 1 f S Z x d W 9 0 O y w m c X V v d D t T Z W N 0 a W 9 u M S 9 z Y X Z l Z H J l Y 3 M v R 2 X D p G 5 k Z X J 0 Z X I g V H l w L n t C b 2 9 r I E F 1 d G h v c i B G d W x s I E 5 h b W V z L D Z 9 J n F 1 b 3 Q 7 L C Z x d W 9 0 O 1 N l Y 3 R p b 2 4 x L 3 N h d m V k c m V j c y 9 H Z c O k b m R l c n R l c i B U e X A u e 0 d y b 3 V w I E F 1 d G h v c n M s N 3 0 m c X V v d D s s J n F 1 b 3 Q 7 U 2 V j d G l v b j E v c 2 F 2 Z W R y Z W N z L 0 d l w 6 R u Z G V y d G V y I F R 5 c C 5 7 Q X J 0 a W N s Z S B U a X R s Z S w 4 f S Z x d W 9 0 O y w m c X V v d D t T Z W N 0 a W 9 u M S 9 z Y X Z l Z H J l Y 3 M v R 2 X D p G 5 k Z X J 0 Z X I g V H l w L n t T b 3 V y Y 2 U g V G l 0 b G U s O X 0 m c X V v d D s s J n F 1 b 3 Q 7 U 2 V j d G l v b j E v c 2 F 2 Z W R y Z W N z L 0 d l w 6 R u Z G V y d G V y I F R 5 c C 5 7 Q m 9 v a y B T Z X J p Z X M g V G l 0 b G U s M T B 9 J n F 1 b 3 Q 7 L C Z x d W 9 0 O 1 N l Y 3 R p b 2 4 x L 3 N h d m V k c m V j c y 9 H Z c O k b m R l c n R l c i B U e X A u e 0 J v b 2 s g U 2 V y a W V z I F N 1 Y n R p d G x l L D E x f S Z x d W 9 0 O y w m c X V v d D t T Z W N 0 a W 9 u M S 9 z Y X Z l Z H J l Y 3 M v R 2 X D p G 5 k Z X J 0 Z X I g V H l w L n t M Y W 5 n d W F n Z S w x M n 0 m c X V v d D s s J n F 1 b 3 Q 7 U 2 V j d G l v b j E v c 2 F 2 Z W R y Z W N z L 0 d l w 6 R u Z G V y d G V y I F R 5 c C 5 7 R G 9 j d W 1 l b n Q g V H l w Z S w x M 3 0 m c X V v d D s s J n F 1 b 3 Q 7 U 2 V j d G l v b j E v c 2 F 2 Z W R y Z W N z L 0 d l w 6 R u Z G V y d G V y I F R 5 c C 5 7 Q 2 9 u Z m V y Z W 5 j Z S B U a X R s Z S w x N H 0 m c X V v d D s s J n F 1 b 3 Q 7 U 2 V j d G l v b j E v c 2 F 2 Z W R y Z W N z L 0 d l w 6 R u Z G V y d G V y I F R 5 c C 5 7 Q 2 9 u Z m V y Z W 5 j Z S B E Y X R l L D E 1 f S Z x d W 9 0 O y w m c X V v d D t T Z W N 0 a W 9 u M S 9 z Y X Z l Z H J l Y 3 M v R 2 X D p G 5 k Z X J 0 Z X I g V H l w L n t D b 2 5 m Z X J l b m N l I E x v Y 2 F 0 a W 9 u L D E 2 f S Z x d W 9 0 O y w m c X V v d D t T Z W N 0 a W 9 u M S 9 z Y X Z l Z H J l Y 3 M v R 2 X D p G 5 k Z X J 0 Z X I g V H l w L n t D b 2 5 m Z X J l b m N l I F N w b 2 5 z b 3 I s M T d 9 J n F 1 b 3 Q 7 L C Z x d W 9 0 O 1 N l Y 3 R p b 2 4 x L 3 N h d m V k c m V j c y 9 H Z c O k b m R l c n R l c i B U e X A u e 0 N v b m Z l c m V u Y 2 U g S G 9 z d C w x O H 0 m c X V v d D s s J n F 1 b 3 Q 7 U 2 V j d G l v b j E v c 2 F 2 Z W R y Z W N z L 0 d l w 6 R u Z G V y d G V y I F R 5 c C 5 7 Q X V 0 a G 9 y I E t l e X d v c m R z L D E 5 f S Z x d W 9 0 O y w m c X V v d D t T Z W N 0 a W 9 u M S 9 z Y X Z l Z H J l Y 3 M v R 2 X D p G 5 k Z X J 0 Z X I g V H l w L n t L Z X l 3 b 3 J k c y B Q b H V z L D I w f S Z x d W 9 0 O y w m c X V v d D t T Z W N 0 a W 9 u M S 9 z Y X Z l Z H J l Y 3 M v R 2 X D p G 5 k Z X J 0 Z X I g V H l w L n t B Y n N 0 c m F j d C w y M X 0 m c X V v d D s s J n F 1 b 3 Q 7 U 2 V j d G l v b j E v c 2 F 2 Z W R y Z W N z L 0 d l w 6 R u Z G V y d G V y I F R 5 c C 5 7 Q W R k c m V z c 2 V z L D I y f S Z x d W 9 0 O y w m c X V v d D t T Z W N 0 a W 9 u M S 9 z Y X Z l Z H J l Y 3 M v R 2 X D p G 5 k Z X J 0 Z X I g V H l w L n t B Z m Z p b G l h d G l v b n M s M j N 9 J n F 1 b 3 Q 7 L C Z x d W 9 0 O 1 N l Y 3 R p b 2 4 x L 3 N h d m V k c m V j c y 9 H Z c O k b m R l c n R l c i B U e X A u e 1 J l c H J p b n Q g Q W R k c m V z c 2 V z L D I 0 f S Z x d W 9 0 O y w m c X V v d D t T Z W N 0 a W 9 u M S 9 z Y X Z l Z H J l Y 3 M v R 2 X D p G 5 k Z X J 0 Z X I g V H l w L n t F b W F p b C B B Z G R y Z X N z Z X M s M j V 9 J n F 1 b 3 Q 7 L C Z x d W 9 0 O 1 N l Y 3 R p b 2 4 x L 3 N h d m V k c m V j c y 9 H Z c O k b m R l c n R l c i B U e X A u e 1 J l c 2 V h c m N o Z X I g S W R z L D I 2 f S Z x d W 9 0 O y w m c X V v d D t T Z W N 0 a W 9 u M S 9 z Y X Z l Z H J l Y 3 M v R 2 X D p G 5 k Z X J 0 Z X I g V H l w L n t P U k N J R H M s M j d 9 J n F 1 b 3 Q 7 L C Z x d W 9 0 O 1 N l Y 3 R p b 2 4 x L 3 N h d m V k c m V j c y 9 H Z c O k b m R l c n R l c i B U e X A u e 0 Z 1 b m R p b m c g T 3 J n c y w y O H 0 m c X V v d D s s J n F 1 b 3 Q 7 U 2 V j d G l v b j E v c 2 F 2 Z W R y Z W N z L 0 d l w 6 R u Z G V y d G V y I F R 5 c C 5 7 R n V u Z G l u Z y B U Z X h 0 L D I 5 f S Z x d W 9 0 O y w m c X V v d D t T Z W N 0 a W 9 u M S 9 z Y X Z l Z H J l Y 3 M v R 2 X D p G 5 k Z X J 0 Z X I g V H l w L n t D a X R l Z C B S Z W Z l c m V u Y 2 V z L D M w f S Z x d W 9 0 O y w m c X V v d D t T Z W N 0 a W 9 u M S 9 z Y X Z l Z H J l Y 3 M v R 2 X D p G 5 k Z X J 0 Z X I g V H l w L n t D a X R l Z C B S Z W Z l c m V u Y 2 U g Q 2 9 1 b n Q s M z F 9 J n F 1 b 3 Q 7 L C Z x d W 9 0 O 1 N l Y 3 R p b 2 4 x L 3 N h d m V k c m V j c y 9 H Z c O k b m R l c n R l c i B U e X A u e 1 R p b W V z I E N p d G V k L C B X b 1 M g Q 2 9 y Z S w z M n 0 m c X V v d D s s J n F 1 b 3 Q 7 U 2 V j d G l v b j E v c 2 F 2 Z W R y Z W N z L 0 d l w 6 R u Z G V y d G V y I F R 5 c C 5 7 V G l t Z X M g Q 2 l 0 Z W Q s I E F s b C B E Y X R h Y m F z Z X M s M z N 9 J n F 1 b 3 Q 7 L C Z x d W 9 0 O 1 N l Y 3 R p b 2 4 x L 3 N h d m V k c m V j c y 9 H Z c O k b m R l c n R l c i B U e X A u e z E 4 M C B E Y X k g V X N h Z 2 U g Q 2 9 1 b n Q s M z R 9 J n F 1 b 3 Q 7 L C Z x d W 9 0 O 1 N l Y 3 R p b 2 4 x L 3 N h d m V k c m V j c y 9 H Z c O k b m R l c n R l c i B U e X A u e 1 N p b m N l I D I w M T M g V X N h Z 2 U g Q 2 9 1 b n Q s M z V 9 J n F 1 b 3 Q 7 L C Z x d W 9 0 O 1 N l Y 3 R p b 2 4 x L 3 N h d m V k c m V j c y 9 H Z c O k b m R l c n R l c i B U e X A u e 1 B 1 Y m x p c 2 h l c i w z N n 0 m c X V v d D s s J n F 1 b 3 Q 7 U 2 V j d G l v b j E v c 2 F 2 Z W R y Z W N z L 0 d l w 6 R u Z G V y d G V y I F R 5 c C 5 7 U H V i b G l z a G V y I E N p d H k s M z d 9 J n F 1 b 3 Q 7 L C Z x d W 9 0 O 1 N l Y 3 R p b 2 4 x L 3 N h d m V k c m V j c y 9 H Z c O k b m R l c n R l c i B U e X A u e 1 B 1 Y m x p c 2 h l c i B B Z G R y Z X N z L D M 4 f S Z x d W 9 0 O y w m c X V v d D t T Z W N 0 a W 9 u M S 9 z Y X Z l Z H J l Y 3 M v R 2 X D p G 5 k Z X J 0 Z X I g V H l w L n t J U 1 N O L D M 5 f S Z x d W 9 0 O y w m c X V v d D t T Z W N 0 a W 9 u M S 9 z Y X Z l Z H J l Y 3 M v R 2 X D p G 5 k Z X J 0 Z X I g V H l w L n t l S V N T T i w 0 M H 0 m c X V v d D s s J n F 1 b 3 Q 7 U 2 V j d G l v b j E v c 2 F 2 Z W R y Z W N z L 0 d l w 6 R u Z G V y d G V y I F R 5 c C 5 7 S V N C T i w 0 M X 0 m c X V v d D s s J n F 1 b 3 Q 7 U 2 V j d G l v b j E v c 2 F 2 Z W R y Z W N z L 0 d l w 6 R u Z G V y d G V y I F R 5 c C 5 7 S m 9 1 c m 5 h b C B B Y m J y Z X Z p Y X R p b 2 4 s N D J 9 J n F 1 b 3 Q 7 L C Z x d W 9 0 O 1 N l Y 3 R p b 2 4 x L 3 N h d m V k c m V j c y 9 H Z c O k b m R l c n R l c i B U e X A u e 0 p v d X J u Y W w g S V N P I E F i Y n J l d m l h d G l v b i w 0 M 3 0 m c X V v d D s s J n F 1 b 3 Q 7 U 2 V j d G l v b j E v c 2 F 2 Z W R y Z W N z L 0 d l w 6 R u Z G V y d G V y I F R 5 c C 5 7 U H V i b G l j Y X R p b 2 4 g R G F 0 Z S w 0 N H 0 m c X V v d D s s J n F 1 b 3 Q 7 U 2 V j d G l v b j E v c 2 F 2 Z W R y Z W N z L 0 d l w 6 R u Z G V y d G V y I F R 5 c C 5 7 U H V i b G l j Y X R p b 2 4 g W W V h c i w 0 N X 0 m c X V v d D s s J n F 1 b 3 Q 7 U 2 V j d G l v b j E v c 2 F 2 Z W R y Z W N z L 0 d l w 6 R u Z G V y d G V y I F R 5 c C 5 7 V m 9 s d W 1 l L D Q 2 f S Z x d W 9 0 O y w m c X V v d D t T Z W N 0 a W 9 u M S 9 z Y X Z l Z H J l Y 3 M v R 2 X D p G 5 k Z X J 0 Z X I g V H l w L n t J c 3 N 1 Z S w 0 N 3 0 m c X V v d D s s J n F 1 b 3 Q 7 U 2 V j d G l v b j E v c 2 F 2 Z W R y Z W N z L 0 d l w 6 R u Z G V y d G V y I F R 5 c C 5 7 U G F y d C B O d W 1 i Z X I s N D h 9 J n F 1 b 3 Q 7 L C Z x d W 9 0 O 1 N l Y 3 R p b 2 4 x L 3 N h d m V k c m V j c y 9 H Z c O k b m R l c n R l c i B U e X A u e 1 N 1 c H B s Z W 1 l b n Q s N D l 9 J n F 1 b 3 Q 7 L C Z x d W 9 0 O 1 N l Y 3 R p b 2 4 x L 3 N h d m V k c m V j c y 9 H Z c O k b m R l c n R l c i B U e X A u e 1 N w Z W N p Y W w g S X N z d W U s N T B 9 J n F 1 b 3 Q 7 L C Z x d W 9 0 O 1 N l Y 3 R p b 2 4 x L 3 N h d m V k c m V j c y 9 H Z c O k b m R l c n R l c i B U e X A u e 0 1 l Z X R p b m c g Q W J z d H J h Y 3 Q s N T F 9 J n F 1 b 3 Q 7 L C Z x d W 9 0 O 1 N l Y 3 R p b 2 4 x L 3 N h d m V k c m V j c y 9 H Z c O k b m R l c n R l c i B U e X A u e 1 N 0 Y X J 0 I F B h Z 2 U s N T J 9 J n F 1 b 3 Q 7 L C Z x d W 9 0 O 1 N l Y 3 R p b 2 4 x L 3 N h d m V k c m V j c y 9 H Z c O k b m R l c n R l c i B U e X A u e 0 V u Z C B Q Y W d l L D U z f S Z x d W 9 0 O y w m c X V v d D t T Z W N 0 a W 9 u M S 9 z Y X Z l Z H J l Y 3 M v R 2 X D p G 5 k Z X J 0 Z X I g V H l w L n t B c n R p Y 2 x l I E 5 1 b W J l c i w 1 N H 0 m c X V v d D s s J n F 1 b 3 Q 7 U 2 V j d G l v b j E v c 2 F 2 Z W R y Z W N z L 0 d l w 6 R u Z G V y d G V y I F R 5 c C 5 7 R E 9 J L D U 1 f S Z x d W 9 0 O y w m c X V v d D t T Z W N 0 a W 9 u M S 9 z Y X Z l Z H J l Y 3 M v R 2 X D p G 5 k Z X J 0 Z X I g V H l w L n t C b 2 9 r I E R P S S w 1 N n 0 m c X V v d D s s J n F 1 b 3 Q 7 U 2 V j d G l v b j E v c 2 F 2 Z W R y Z W N z L 0 d l w 6 R u Z G V y d G V y I F R 5 c C 5 7 R W F y b H k g Q W N j Z X N z I E R h d G U s N T d 9 J n F 1 b 3 Q 7 L C Z x d W 9 0 O 1 N l Y 3 R p b 2 4 x L 3 N h d m V k c m V j c y 9 H Z c O k b m R l c n R l c i B U e X A u e 0 5 1 b W J l c i B v Z i B Q Y W d l c y w 1 O H 0 m c X V v d D s s J n F 1 b 3 Q 7 U 2 V j d G l v b j E v c 2 F 2 Z W R y Z W N z L 0 d l w 6 R u Z G V y d G V y I F R 5 c C 5 7 V 2 9 T I E N h d G V n b 3 J p Z X M s N T l 9 J n F 1 b 3 Q 7 L C Z x d W 9 0 O 1 N l Y 3 R p b 2 4 x L 3 N h d m V k c m V j c y 9 H Z c O k b m R l c n R l c i B U e X A u e 1 d l Y i B v Z i B T Y 2 l l b m N l I E l u Z G V 4 L D Y w f S Z x d W 9 0 O y w m c X V v d D t T Z W N 0 a W 9 u M S 9 z Y X Z l Z H J l Y 3 M v R 2 X D p G 5 k Z X J 0 Z X I g V H l w L n t S Z X N l Y X J j a C B B c m V h c y w 2 M X 0 m c X V v d D s s J n F 1 b 3 Q 7 U 2 V j d G l v b j E v c 2 F 2 Z W R y Z W N z L 0 d l w 6 R u Z G V y d G V y I F R 5 c C 5 7 S U R T I E 5 1 b W J l c i w 2 M n 0 m c X V v d D s s J n F 1 b 3 Q 7 U 2 V j d G l v b j E v c 2 F 2 Z W R y Z W N z L 0 d l w 6 R u Z G V y d G V y I F R 5 c C 5 7 V V Q g K F V u a X F 1 Z S B X T 1 M g S U Q p L D Y z f S Z x d W 9 0 O y w m c X V v d D t T Z W N 0 a W 9 u M S 9 z Y X Z l Z H J l Y 3 M v R 2 X D p G 5 k Z X J 0 Z X I g V H l w L n t Q d W J t Z W Q g S W Q s N j R 9 J n F 1 b 3 Q 7 L C Z x d W 9 0 O 1 N l Y 3 R p b 2 4 x L 3 N h d m V k c m V j c y 9 H Z c O k b m R l c n R l c i B U e X A u e 0 9 w Z W 4 g Q W N j Z X N z I E R l c 2 l n b m F 0 a W 9 u c y w 2 N X 0 m c X V v d D s s J n F 1 b 3 Q 7 U 2 V j d G l v b j E v c 2 F 2 Z W R y Z W N z L 0 d l w 6 R u Z G V y d G V y I F R 5 c C 5 7 S G l n a G x 5 I E N p d G V k I F N 0 Y X R 1 c y w 2 N n 0 m c X V v d D s s J n F 1 b 3 Q 7 U 2 V j d G l v b j E v c 2 F 2 Z W R y Z W N z L 0 d l w 6 R u Z G V y d G V y I F R 5 c C 5 7 S G 9 0 I F B h c G V y I F N 0 Y X R 1 c y w 2 N 3 0 m c X V v d D s s J n F 1 b 3 Q 7 U 2 V j d G l v b j E v c 2 F 2 Z W R y Z W N z L 0 d l w 6 R u Z G V y d G V y I F R 5 c C 5 7 R G F 0 Z S B v Z i B F e H B v c n Q s N j h 9 J n F 1 b 3 Q 7 L C Z x d W 9 0 O 1 N l Y 3 R p b 2 4 x L 3 N h d m V k c m V j c y 9 H Z c O k b m R l c n R l c i B U e X A u e 0 N v b H V t b j c w L D Y 5 f S Z x d W 9 0 O 1 0 s J n F 1 b 3 Q 7 U m V s Y X R p b 2 5 z a G l w S W 5 m b y Z x d W 9 0 O z p b X X 0 i I C 8 + P C 9 T d G F i b G V F b n R y a W V z P j w v S X R l b T 4 8 S X R l b T 4 8 S X R l b U x v Y 2 F 0 a W 9 u P j x J d G V t V H l w Z T 5 G b 3 J t d W x h P C 9 J d G V t V H l w Z T 4 8 S X R l b V B h d G g + U 2 V j d G l v b j E v c 2 F 2 Z W R y Z W N z L 1 F 1 Z W x s Z T w v S X R l b V B h d G g + P C 9 J d G V t T G 9 j Y X R p b 2 4 + P F N 0 Y W J s Z U V u d H J p Z X M g L z 4 8 L 0 l 0 Z W 0 + P E l 0 Z W 0 + P E l 0 Z W 1 M b 2 N h d G l v b j 4 8 S X R l b V R 5 c G U + R m 9 y b X V s Y T w v S X R l b V R 5 c G U + P E l 0 Z W 1 Q Y X R o P l N l Y 3 R p b 2 4 x L 3 N h d m V k c m V j c y 9 z Y X Z l Z H J l Y 3 M x P C 9 J d G V t U G F 0 a D 4 8 L 0 l 0 Z W 1 M b 2 N h d G l v b j 4 8 U 3 R h Y m x l R W 5 0 c m l l c y A v P j w v S X R l b T 4 8 S X R l b T 4 8 S X R l b U x v Y 2 F 0 a W 9 u P j x J d G V t V H l w Z T 5 G b 3 J t d W x h P C 9 J d G V t V H l w Z T 4 8 S X R l b V B h d G g + U 2 V j d G l v b j E v c 2 F 2 Z W R y Z W N z L 0 g l Q z M l Q j Z o Z X I l M j B n Z X N 0 d W Z 0 Z S U y M E h l Y W R l c j w v S X R l b V B h d G g + P C 9 J d G V t T G 9 j Y X R p b 2 4 + P F N 0 Y W J s Z U V u d H J p Z X M g L z 4 8 L 0 l 0 Z W 0 + P E l 0 Z W 0 + P E l 0 Z W 1 M b 2 N h d G l v b j 4 8 S X R l b V R 5 c G U + R m 9 y b X V s Y T w v S X R l b V R 5 c G U + P E l 0 Z W 1 Q Y X R o P l N l Y 3 R p b 2 4 x L 3 N h d m V k c m V j c y 9 H Z S V D M y V B N G 5 k Z X J 0 Z X I l M j B U e X A 8 L 0 l 0 Z W 1 Q Y X R o P j w v S X R l b U x v Y 2 F 0 a W 9 u P j x T d G F i b G V F b n R y a W V z I C 8 + P C 9 J d G V t P j x J d G V t P j x J d G V t T G 9 j Y X R p b 2 4 + P E l 0 Z W 1 U e X B l P k Z v c m 1 1 b G E 8 L 0 l 0 Z W 1 U e X B l P j x J d G V t U G F 0 a D 5 T Z W N 0 a W 9 u M S 9 z Y 2 9 w d X M w N D A 3 M j A y M i U y M C g y K 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G a W x s V G F y Z 2 V 0 I i B W Y W x 1 Z T 0 i c 3 N j b 3 B 1 c z A 0 M D c y M D I y M y I g L z 4 8 R W 5 0 c n k g V H l w Z T 0 i R m l s b G V k Q 2 9 t c G x l d G V S Z X N 1 b H R U b 1 d v c m t z a G V l d C I g V m F s d W U 9 I m w x I i A v P j x F b n R y e S B U e X B l P S J G a W x s Q 2 9 s d W 1 u T m F t Z X M i I F Z h b H V l P S J z W y Z x d W 9 0 O 0 F 1 d G h v c n M m c X V v d D s s J n F 1 b 3 Q 7 Q X V 0 a G 9 y K H M p I E l E J n F 1 b 3 Q 7 L C Z x d W 9 0 O 1 R p d G x l J n F 1 b 3 Q 7 L C Z x d W 9 0 O 1 l l Y X I m c X V v d D s s J n F 1 b 3 Q 7 U 2 9 1 c m N l I H R p d G x l J n F 1 b 3 Q 7 L C Z x d W 9 0 O 1 Z v b H V t Z S Z x d W 9 0 O y w m c X V v d D t J c 3 N 1 Z S Z x d W 9 0 O y w m c X V v d D t B c n Q u I E 5 v L i Z x d W 9 0 O y w m c X V v d D t Q Y W d l I H N 0 Y X J 0 J n F 1 b 3 Q 7 L C Z x d W 9 0 O 1 B h Z 2 U g Z W 5 k J n F 1 b 3 Q 7 L C Z x d W 9 0 O 1 B h Z 2 U g Y 2 9 1 b n Q m c X V v d D s s J n F 1 b 3 Q 7 Q 2 l 0 Z W Q g Y n k m c X V v d D s s J n F 1 b 3 Q 7 R E 9 J J n F 1 b 3 Q 7 L C Z x d W 9 0 O 0 x p b m s m c X V v d D s s J n F 1 b 3 Q 7 Q W J z d H J h Y 3 Q m c X V v d D s s J n F 1 b 3 Q 7 Q X V 0 a G 9 y I E t l e X d v c m R z J n F 1 b 3 Q 7 L C Z x d W 9 0 O 0 l u Z G V 4 I E t l e X d v c m R z J n F 1 b 3 Q 7 L C Z x d W 9 0 O 1 N w b 2 5 z b 3 J z J n F 1 b 3 Q 7 L C Z x d W 9 0 O 1 B 1 Y m x p c 2 h l c i Z x d W 9 0 O y w m c X V v d D t D b 2 5 m Z X J l b m N l I G 5 h b W U m c X V v d D s s J n F 1 b 3 Q 7 Q 2 9 u Z m V y Z W 5 j Z S B k Y X R l J n F 1 b 3 Q 7 L C Z x d W 9 0 O 0 N v b m Z l c m V u Y 2 U g b G 9 j Y X R p b 2 4 m c X V v d D s s J n F 1 b 3 Q 7 Q 2 9 u Z m V y Z W 5 j Z S B j b 2 R l J n F 1 b 3 Q 7 L C Z x d W 9 0 O 0 l T U 0 4 m c X V v d D s s J n F 1 b 3 Q 7 S V N C T i Z x d W 9 0 O y w m c X V v d D t D T 0 R F T i Z x d W 9 0 O y w m c X V v d D t M Y W 5 n d W F n Z S B v Z i B P c m l n a W 5 h b C B E b 2 N 1 b W V u d C Z x d W 9 0 O y w m c X V v d D t E b 2 N 1 b W V u d C B U e X B l J n F 1 b 3 Q 7 L C Z x d W 9 0 O 1 B 1 Y m x p Y 2 F 0 a W 9 u I F N 0 Y W d l J n F 1 b 3 Q 7 L C Z x d W 9 0 O 0 9 w Z W 4 g Q W N j Z X N z J n F 1 b 3 Q 7 L C Z x d W 9 0 O 1 N v d X J j Z S Z x d W 9 0 O y w m c X V v d D t F S U Q m c X V v d D t d I i A v P j x F b n R y e S B U e X B l P S J G a W x s Q 2 9 s d W 1 u V H l w Z X M i I F Z h b H V l P S J z Q m d Z R 0 F 3 W U d C Z 1 l E Q X d N R E J n W U d C Z 1 l H Q m d Z R 0 J n T U d C Z 1 l H Q m d Z R 0 J n W T 0 i I C 8 + P E V u d H J 5 I F R 5 c G U 9 I k Z p b G x M Y X N 0 V X B k Y X R l Z C I g V m F s d W U 9 I m Q y M D I y L T A 3 L T A 0 V D A 5 O j Q x O j Q 1 L j k 0 M T g 0 M D d a I i A v P j x F b n R y e S B U e X B l P S J G a W x s R X J y b 3 J D b 3 V u d C I g V m F s d W U 9 I m w w I i A v P j x F b n R y e S B U e X B l P S J G a W x s R X J y b 3 J D b 2 R l I i B W Y W x 1 Z T 0 i c 1 V u a 2 5 v d 2 4 i I C 8 + P E V u d H J 5 I F R 5 c G U 9 I k Z p b G x D b 3 V u d C I g V m F s d W U 9 I m w x M z A i I C 8 + P E V u d H J 5 I F R 5 c G U 9 I k Z p b G x T d G F 0 d X M i I F Z h b H V l P S J z Q 2 9 t c G x l d G U i I C 8 + P E V u d H J 5 I F R 5 c G U 9 I k F k Z G V k V G 9 E Y X R h T W 9 k Z W w i I F Z h b H V l P S J s M C I g L z 4 8 R W 5 0 c n k g V H l w Z T 0 i T G 9 h Z G V k V G 9 B b m F s e X N p c 1 N l c n Z p Y 2 V z I i B W Y W x 1 Z T 0 i b D A i I C 8 + P E V u d H J 5 I F R 5 c G U 9 I l J l b G F 0 a W 9 u c 2 h p c E l u Z m 9 D b 2 5 0 Y W l u Z X I i I F Z h b H V l P S J z e y Z x d W 9 0 O 2 N v b H V t b k N v d W 5 0 J n F 1 b 3 Q 7 O j M y L C Z x d W 9 0 O 2 t l e U N v b H V t b k 5 h b W V z J n F 1 b 3 Q 7 O l t d L C Z x d W 9 0 O 3 F 1 Z X J 5 U m V s Y X R p b 2 5 z a G l w c y Z x d W 9 0 O z p b X S w m c X V v d D t j b 2 x 1 b W 5 J Z G V u d G l 0 a W V z J n F 1 b 3 Q 7 O l s m c X V v d D t T Z W N 0 a W 9 u M S 9 z Y 2 9 w d X M w N D A 3 M j A y M i 9 H Z c O k b m R l c n R l c i B U e X A u e 0 F 1 d G h v c n M s M H 0 m c X V v d D s s J n F 1 b 3 Q 7 U 2 V j d G l v b j E v c 2 N v c H V z M D Q w N z I w M j I v R 2 X D p G 5 k Z X J 0 Z X I g V H l w L n t B d X R o b 3 I o c y k g S U Q s M X 0 m c X V v d D s s J n F 1 b 3 Q 7 U 2 V j d G l v b j E v c 2 N v c H V z M D Q w N z I w M j I v R 2 X D p G 5 k Z X J 0 Z X I g V H l w L n t U a X R s Z S w y f S Z x d W 9 0 O y w m c X V v d D t T Z W N 0 a W 9 u M S 9 z Y 2 9 w d X M w N D A 3 M j A y M i 9 H Z c O k b m R l c n R l c i B U e X A u e 1 l l Y X I s M 3 0 m c X V v d D s s J n F 1 b 3 Q 7 U 2 V j d G l v b j E v c 2 N v c H V z M D Q w N z I w M j I v R 2 X D p G 5 k Z X J 0 Z X I g V H l w L n t T b 3 V y Y 2 U g d G l 0 b G U s N H 0 m c X V v d D s s J n F 1 b 3 Q 7 U 2 V j d G l v b j E v c 2 N v c H V z M D Q w N z I w M j I v R 2 X D p G 5 k Z X J 0 Z X I g V H l w L n t W b 2 x 1 b W U s N X 0 m c X V v d D s s J n F 1 b 3 Q 7 U 2 V j d G l v b j E v c 2 N v c H V z M D Q w N z I w M j I v R 2 X D p G 5 k Z X J 0 Z X I g V H l w L n t J c 3 N 1 Z S w 2 f S Z x d W 9 0 O y w m c X V v d D t T Z W N 0 a W 9 u M S 9 z Y 2 9 w d X M w N D A 3 M j A y M i 9 H Z c O k b m R l c n R l c i B U e X A u e 0 F y d C 4 g T m 8 u L D d 9 J n F 1 b 3 Q 7 L C Z x d W 9 0 O 1 N l Y 3 R p b 2 4 x L 3 N j b 3 B 1 c z A 0 M D c y M D I y L 0 d l w 6 R u Z G V y d G V y I F R 5 c C 5 7 U G F n Z S B z d G F y d C w 4 f S Z x d W 9 0 O y w m c X V v d D t T Z W N 0 a W 9 u M S 9 z Y 2 9 w d X M w N D A 3 M j A y M i 9 H Z c O k b m R l c n R l c i B U e X A u e 1 B h Z 2 U g Z W 5 k L D l 9 J n F 1 b 3 Q 7 L C Z x d W 9 0 O 1 N l Y 3 R p b 2 4 x L 3 N j b 3 B 1 c z A 0 M D c y M D I y L 0 d l w 6 R u Z G V y d G V y I F R 5 c C 5 7 U G F n Z S B j b 3 V u d C w x M H 0 m c X V v d D s s J n F 1 b 3 Q 7 U 2 V j d G l v b j E v c 2 N v c H V z M D Q w N z I w M j I v R 2 X D p G 5 k Z X J 0 Z X I g V H l w L n t D a X R l Z C B i e S w x M X 0 m c X V v d D s s J n F 1 b 3 Q 7 U 2 V j d G l v b j E v c 2 N v c H V z M D Q w N z I w M j I v R 2 X D p G 5 k Z X J 0 Z X I g V H l w L n t E T 0 k s M T J 9 J n F 1 b 3 Q 7 L C Z x d W 9 0 O 1 N l Y 3 R p b 2 4 x L 3 N j b 3 B 1 c z A 0 M D c y M D I y L 0 d l w 6 R u Z G V y d G V y I F R 5 c C 5 7 T G l u a y w x M 3 0 m c X V v d D s s J n F 1 b 3 Q 7 U 2 V j d G l v b j E v c 2 N v c H V z M D Q w N z I w M j I v R 2 X D p G 5 k Z X J 0 Z X I g V H l w L n t B Y n N 0 c m F j d C w x N H 0 m c X V v d D s s J n F 1 b 3 Q 7 U 2 V j d G l v b j E v c 2 N v c H V z M D Q w N z I w M j I v R 2 X D p G 5 k Z X J 0 Z X I g V H l w L n t B d X R o b 3 I g S 2 V 5 d 2 9 y Z H M s M T V 9 J n F 1 b 3 Q 7 L C Z x d W 9 0 O 1 N l Y 3 R p b 2 4 x L 3 N j b 3 B 1 c z A 0 M D c y M D I y L 0 d l w 6 R u Z G V y d G V y I F R 5 c C 5 7 S W 5 k Z X g g S 2 V 5 d 2 9 y Z H M s M T Z 9 J n F 1 b 3 Q 7 L C Z x d W 9 0 O 1 N l Y 3 R p b 2 4 x L 3 N j b 3 B 1 c z A 0 M D c y M D I y L 0 d l w 6 R u Z G V y d G V y I F R 5 c C 5 7 U 3 B v b n N v c n M s M T d 9 J n F 1 b 3 Q 7 L C Z x d W 9 0 O 1 N l Y 3 R p b 2 4 x L 3 N j b 3 B 1 c z A 0 M D c y M D I y L 0 d l w 6 R u Z G V y d G V y I F R 5 c C 5 7 U H V i b G l z a G V y L D E 4 f S Z x d W 9 0 O y w m c X V v d D t T Z W N 0 a W 9 u M S 9 z Y 2 9 w d X M w N D A 3 M j A y M i 9 H Z c O k b m R l c n R l c i B U e X A u e 0 N v b m Z l c m V u Y 2 U g b m F t Z S w x O X 0 m c X V v d D s s J n F 1 b 3 Q 7 U 2 V j d G l v b j E v c 2 N v c H V z M D Q w N z I w M j I v R 2 X D p G 5 k Z X J 0 Z X I g V H l w L n t D b 2 5 m Z X J l b m N l I G R h d G U s M j B 9 J n F 1 b 3 Q 7 L C Z x d W 9 0 O 1 N l Y 3 R p b 2 4 x L 3 N j b 3 B 1 c z A 0 M D c y M D I y L 0 d l w 6 R u Z G V y d G V y I F R 5 c C 5 7 Q 2 9 u Z m V y Z W 5 j Z S B s b 2 N h d G l v b i w y M X 0 m c X V v d D s s J n F 1 b 3 Q 7 U 2 V j d G l v b j E v c 2 N v c H V z M D Q w N z I w M j I v R 2 X D p G 5 k Z X J 0 Z X I g V H l w L n t D b 2 5 m Z X J l b m N l I G N v Z G U s M j J 9 J n F 1 b 3 Q 7 L C Z x d W 9 0 O 1 N l Y 3 R p b 2 4 x L 3 N j b 3 B 1 c z A 0 M D c y M D I y L 0 d l w 6 R u Z G V y d G V y I F R 5 c C 5 7 S V N T T i w y M 3 0 m c X V v d D s s J n F 1 b 3 Q 7 U 2 V j d G l v b j E v c 2 N v c H V z M D Q w N z I w M j I v R 2 X D p G 5 k Z X J 0 Z X I g V H l w L n t J U 0 J O L D I 0 f S Z x d W 9 0 O y w m c X V v d D t T Z W N 0 a W 9 u M S 9 z Y 2 9 w d X M w N D A 3 M j A y M i 9 H Z c O k b m R l c n R l c i B U e X A u e 0 N P R E V O L D I 1 f S Z x d W 9 0 O y w m c X V v d D t T Z W N 0 a W 9 u M S 9 z Y 2 9 w d X M w N D A 3 M j A y M i 9 H Z c O k b m R l c n R l c i B U e X A u e 0 x h b m d 1 Y W d l I G 9 m I E 9 y a W d p b m F s I E R v Y 3 V t Z W 5 0 L D I 2 f S Z x d W 9 0 O y w m c X V v d D t T Z W N 0 a W 9 u M S 9 z Y 2 9 w d X M w N D A 3 M j A y M i 9 H Z c O k b m R l c n R l c i B U e X A u e 0 R v Y 3 V t Z W 5 0 I F R 5 c G U s M j d 9 J n F 1 b 3 Q 7 L C Z x d W 9 0 O 1 N l Y 3 R p b 2 4 x L 3 N j b 3 B 1 c z A 0 M D c y M D I y L 0 d l w 6 R u Z G V y d G V y I F R 5 c C 5 7 U H V i b G l j Y X R p b 2 4 g U 3 R h Z 2 U s M j h 9 J n F 1 b 3 Q 7 L C Z x d W 9 0 O 1 N l Y 3 R p b 2 4 x L 3 N j b 3 B 1 c z A 0 M D c y M D I y L 0 d l w 6 R u Z G V y d G V y I F R 5 c C 5 7 T 3 B l b i B B Y 2 N l c 3 M s M j l 9 J n F 1 b 3 Q 7 L C Z x d W 9 0 O 1 N l Y 3 R p b 2 4 x L 3 N j b 3 B 1 c z A 0 M D c y M D I y L 0 d l w 6 R u Z G V y d G V y I F R 5 c C 5 7 U 2 9 1 c m N l L D M w f S Z x d W 9 0 O y w m c X V v d D t T Z W N 0 a W 9 u M S 9 z Y 2 9 w d X M w N D A 3 M j A y M i 9 H Z c O k b m R l c n R l c i B U e X A u e 0 V J R C w z M X 0 m c X V v d D t d L C Z x d W 9 0 O 0 N v b H V t b k N v d W 5 0 J n F 1 b 3 Q 7 O j M y L C Z x d W 9 0 O 0 t l e U N v b H V t b k 5 h b W V z J n F 1 b 3 Q 7 O l t d L C Z x d W 9 0 O 0 N v b H V t b k l k Z W 5 0 a X R p Z X M m c X V v d D s 6 W y Z x d W 9 0 O 1 N l Y 3 R p b 2 4 x L 3 N j b 3 B 1 c z A 0 M D c y M D I y L 0 d l w 6 R u Z G V y d G V y I F R 5 c C 5 7 Q X V 0 a G 9 y c y w w f S Z x d W 9 0 O y w m c X V v d D t T Z W N 0 a W 9 u M S 9 z Y 2 9 w d X M w N D A 3 M j A y M i 9 H Z c O k b m R l c n R l c i B U e X A u e 0 F 1 d G h v c i h z K S B J R C w x f S Z x d W 9 0 O y w m c X V v d D t T Z W N 0 a W 9 u M S 9 z Y 2 9 w d X M w N D A 3 M j A y M i 9 H Z c O k b m R l c n R l c i B U e X A u e 1 R p d G x l L D J 9 J n F 1 b 3 Q 7 L C Z x d W 9 0 O 1 N l Y 3 R p b 2 4 x L 3 N j b 3 B 1 c z A 0 M D c y M D I y L 0 d l w 6 R u Z G V y d G V y I F R 5 c C 5 7 W W V h c i w z f S Z x d W 9 0 O y w m c X V v d D t T Z W N 0 a W 9 u M S 9 z Y 2 9 w d X M w N D A 3 M j A y M i 9 H Z c O k b m R l c n R l c i B U e X A u e 1 N v d X J j Z S B 0 a X R s Z S w 0 f S Z x d W 9 0 O y w m c X V v d D t T Z W N 0 a W 9 u M S 9 z Y 2 9 w d X M w N D A 3 M j A y M i 9 H Z c O k b m R l c n R l c i B U e X A u e 1 Z v b H V t Z S w 1 f S Z x d W 9 0 O y w m c X V v d D t T Z W N 0 a W 9 u M S 9 z Y 2 9 w d X M w N D A 3 M j A y M i 9 H Z c O k b m R l c n R l c i B U e X A u e 0 l z c 3 V l L D Z 9 J n F 1 b 3 Q 7 L C Z x d W 9 0 O 1 N l Y 3 R p b 2 4 x L 3 N j b 3 B 1 c z A 0 M D c y M D I y L 0 d l w 6 R u Z G V y d G V y I F R 5 c C 5 7 Q X J 0 L i B O b y 4 s N 3 0 m c X V v d D s s J n F 1 b 3 Q 7 U 2 V j d G l v b j E v c 2 N v c H V z M D Q w N z I w M j I v R 2 X D p G 5 k Z X J 0 Z X I g V H l w L n t Q Y W d l I H N 0 Y X J 0 L D h 9 J n F 1 b 3 Q 7 L C Z x d W 9 0 O 1 N l Y 3 R p b 2 4 x L 3 N j b 3 B 1 c z A 0 M D c y M D I y L 0 d l w 6 R u Z G V y d G V y I F R 5 c C 5 7 U G F n Z S B l b m Q s O X 0 m c X V v d D s s J n F 1 b 3 Q 7 U 2 V j d G l v b j E v c 2 N v c H V z M D Q w N z I w M j I v R 2 X D p G 5 k Z X J 0 Z X I g V H l w L n t Q Y W d l I G N v d W 5 0 L D E w f S Z x d W 9 0 O y w m c X V v d D t T Z W N 0 a W 9 u M S 9 z Y 2 9 w d X M w N D A 3 M j A y M i 9 H Z c O k b m R l c n R l c i B U e X A u e 0 N p d G V k I G J 5 L D E x f S Z x d W 9 0 O y w m c X V v d D t T Z W N 0 a W 9 u M S 9 z Y 2 9 w d X M w N D A 3 M j A y M i 9 H Z c O k b m R l c n R l c i B U e X A u e 0 R P S S w x M n 0 m c X V v d D s s J n F 1 b 3 Q 7 U 2 V j d G l v b j E v c 2 N v c H V z M D Q w N z I w M j I v R 2 X D p G 5 k Z X J 0 Z X I g V H l w L n t M a W 5 r L D E z f S Z x d W 9 0 O y w m c X V v d D t T Z W N 0 a W 9 u M S 9 z Y 2 9 w d X M w N D A 3 M j A y M i 9 H Z c O k b m R l c n R l c i B U e X A u e 0 F i c 3 R y Y W N 0 L D E 0 f S Z x d W 9 0 O y w m c X V v d D t T Z W N 0 a W 9 u M S 9 z Y 2 9 w d X M w N D A 3 M j A y M i 9 H Z c O k b m R l c n R l c i B U e X A u e 0 F 1 d G h v c i B L Z X l 3 b 3 J k c y w x N X 0 m c X V v d D s s J n F 1 b 3 Q 7 U 2 V j d G l v b j E v c 2 N v c H V z M D Q w N z I w M j I v R 2 X D p G 5 k Z X J 0 Z X I g V H l w L n t J b m R l e C B L Z X l 3 b 3 J k c y w x N n 0 m c X V v d D s s J n F 1 b 3 Q 7 U 2 V j d G l v b j E v c 2 N v c H V z M D Q w N z I w M j I v R 2 X D p G 5 k Z X J 0 Z X I g V H l w L n t T c G 9 u c 2 9 y c y w x N 3 0 m c X V v d D s s J n F 1 b 3 Q 7 U 2 V j d G l v b j E v c 2 N v c H V z M D Q w N z I w M j I v R 2 X D p G 5 k Z X J 0 Z X I g V H l w L n t Q d W J s a X N o Z X I s M T h 9 J n F 1 b 3 Q 7 L C Z x d W 9 0 O 1 N l Y 3 R p b 2 4 x L 3 N j b 3 B 1 c z A 0 M D c y M D I y L 0 d l w 6 R u Z G V y d G V y I F R 5 c C 5 7 Q 2 9 u Z m V y Z W 5 j Z S B u Y W 1 l L D E 5 f S Z x d W 9 0 O y w m c X V v d D t T Z W N 0 a W 9 u M S 9 z Y 2 9 w d X M w N D A 3 M j A y M i 9 H Z c O k b m R l c n R l c i B U e X A u e 0 N v b m Z l c m V u Y 2 U g Z G F 0 Z S w y M H 0 m c X V v d D s s J n F 1 b 3 Q 7 U 2 V j d G l v b j E v c 2 N v c H V z M D Q w N z I w M j I v R 2 X D p G 5 k Z X J 0 Z X I g V H l w L n t D b 2 5 m Z X J l b m N l I G x v Y 2 F 0 a W 9 u L D I x f S Z x d W 9 0 O y w m c X V v d D t T Z W N 0 a W 9 u M S 9 z Y 2 9 w d X M w N D A 3 M j A y M i 9 H Z c O k b m R l c n R l c i B U e X A u e 0 N v b m Z l c m V u Y 2 U g Y 2 9 k Z S w y M n 0 m c X V v d D s s J n F 1 b 3 Q 7 U 2 V j d G l v b j E v c 2 N v c H V z M D Q w N z I w M j I v R 2 X D p G 5 k Z X J 0 Z X I g V H l w L n t J U 1 N O L D I z f S Z x d W 9 0 O y w m c X V v d D t T Z W N 0 a W 9 u M S 9 z Y 2 9 w d X M w N D A 3 M j A y M i 9 H Z c O k b m R l c n R l c i B U e X A u e 0 l T Q k 4 s M j R 9 J n F 1 b 3 Q 7 L C Z x d W 9 0 O 1 N l Y 3 R p b 2 4 x L 3 N j b 3 B 1 c z A 0 M D c y M D I y L 0 d l w 6 R u Z G V y d G V y I F R 5 c C 5 7 Q 0 9 E R U 4 s M j V 9 J n F 1 b 3 Q 7 L C Z x d W 9 0 O 1 N l Y 3 R p b 2 4 x L 3 N j b 3 B 1 c z A 0 M D c y M D I y L 0 d l w 6 R u Z G V y d G V y I F R 5 c C 5 7 T G F u Z 3 V h Z 2 U g b 2 Y g T 3 J p Z 2 l u Y W w g R G 9 j d W 1 l b n Q s M j Z 9 J n F 1 b 3 Q 7 L C Z x d W 9 0 O 1 N l Y 3 R p b 2 4 x L 3 N j b 3 B 1 c z A 0 M D c y M D I y L 0 d l w 6 R u Z G V y d G V y I F R 5 c C 5 7 R G 9 j d W 1 l b n Q g V H l w Z S w y N 3 0 m c X V v d D s s J n F 1 b 3 Q 7 U 2 V j d G l v b j E v c 2 N v c H V z M D Q w N z I w M j I v R 2 X D p G 5 k Z X J 0 Z X I g V H l w L n t Q d W J s a W N h d G l v b i B T d G F n Z S w y O H 0 m c X V v d D s s J n F 1 b 3 Q 7 U 2 V j d G l v b j E v c 2 N v c H V z M D Q w N z I w M j I v R 2 X D p G 5 k Z X J 0 Z X I g V H l w L n t P c G V u I E F j Y 2 V z c y w y O X 0 m c X V v d D s s J n F 1 b 3 Q 7 U 2 V j d G l v b j E v c 2 N v c H V z M D Q w N z I w M j I v R 2 X D p G 5 k Z X J 0 Z X I g V H l w L n t T b 3 V y Y 2 U s M z B 9 J n F 1 b 3 Q 7 L C Z x d W 9 0 O 1 N l Y 3 R p b 2 4 x L 3 N j b 3 B 1 c z A 0 M D c y M D I y L 0 d l w 6 R u Z G V y d G V y I F R 5 c C 5 7 R U l E L D M x f S Z x d W 9 0 O 1 0 s J n F 1 b 3 Q 7 U m V s Y X R p b 2 5 z a G l w S W 5 m b y Z x d W 9 0 O z p b X X 0 i I C 8 + P C 9 T d G F i b G V F b n R y a W V z P j w v S X R l b T 4 8 S X R l b T 4 8 S X R l b U x v Y 2 F 0 a W 9 u P j x J d G V t V H l w Z T 5 G b 3 J t d W x h P C 9 J d G V t V H l w Z T 4 8 S X R l b V B h d G g + U 2 V j d G l v b j E v c 2 N v c H V z M D Q w N z I w M j I l M j A o M i k v U X V l b G x l P C 9 J d G V t U G F 0 a D 4 8 L 0 l 0 Z W 1 M b 2 N h d G l v b j 4 8 U 3 R h Y m x l R W 5 0 c m l l c y A v P j w v S X R l b T 4 8 S X R l b T 4 8 S X R l b U x v Y 2 F 0 a W 9 u P j x J d G V t V H l w Z T 5 G b 3 J t d W x h P C 9 J d G V t V H l w Z T 4 8 S X R l b V B h d G g + U 2 V j d G l v b j E v c 2 N v c H V z M D Q w N z I w M j I l M j A o M i k v S C V D M y V C N m h l c i U y M G d l c 3 R 1 Z n R l J T I w S G V h Z G V y P C 9 J d G V t U G F 0 a D 4 8 L 0 l 0 Z W 1 M b 2 N h d G l v b j 4 8 U 3 R h Y m x l R W 5 0 c m l l c y A v P j w v S X R l b T 4 8 S X R l b T 4 8 S X R l b U x v Y 2 F 0 a W 9 u P j x J d G V t V H l w Z T 5 G b 3 J t d W x h P C 9 J d G V t V H l w Z T 4 8 S X R l b V B h d G g + U 2 V j d G l v b j E v c 2 N v c H V z M D Q w N z I w M j I l M j A o M i k v R 2 U l Q z M l Q T R u Z G V y d G V y J T I w V H l w P C 9 J d G V t U G F 0 a D 4 8 L 0 l 0 Z W 1 M b 2 N h d G l v b j 4 8 U 3 R h Y m x l R W 5 0 c m l l c y A v P j w v S X R l b T 4 8 L 0 l 0 Z W 1 z P j w v T G 9 j Y W x Q Y W N r Y W d l T W V 0 Y W R h d G F G a W x l P h Y A A A B Q S w U G A A A A A A A A A A A A A A A A A A A A A A A A 2 g A A A A E A A A D Q j J 3 f A R X R E Y x 6 A M B P w p f r A Q A A A A w 3 b b / q 0 l d E v b c X E I s v f J I A A A A A A g A A A A A A A 2 Y A A M A A A A A Q A A A A Q E v o i 2 8 I H 4 s w x 6 1 P 2 C H v G A A A A A A E g A A A o A A A A B A A A A C G t d g Q K p N f Z I o j B H c i O + o N U A A A A A M J K z w i L z H 8 S f u Y w n 1 6 3 H a x h 3 R H W 1 n 7 k r A P 5 E i B b V m f g T O 2 U + S 7 z q z d V n e 3 G j 7 1 N g v q D G + l a d A A Z v 0 o L A 5 h J p 6 y E X 6 T e Q w 1 J 6 G 5 A P E 1 e h o 0 F A A A A J 0 m y E T f t c n M n V o w s v C x P d Z p 6 l P + < / D a t a M a s h u p > 
</file>

<file path=customXml/itemProps1.xml><?xml version="1.0" encoding="utf-8"?>
<ds:datastoreItem xmlns:ds="http://schemas.openxmlformats.org/officeDocument/2006/customXml" ds:itemID="{B4BBFA6B-51F6-43FB-BF09-AD11961ABE9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READ ME</vt:lpstr>
      <vt:lpstr>Scopus</vt:lpstr>
      <vt:lpstr>Web of Science</vt:lpstr>
      <vt:lpstr>Other Sources</vt:lpstr>
      <vt:lpstr>Quantitative Analysis</vt:lpstr>
      <vt:lpstr>Aggregation</vt:lpstr>
    </vt:vector>
  </TitlesOfParts>
  <Company>DLR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Sattler, Bernhard Jonathan</dc:creator>
  <cp:lastModifiedBy>Sattler, Bernhard Jonathan</cp:lastModifiedBy>
  <dcterms:created xsi:type="dcterms:W3CDTF">2022-04-01T07:16:15Z</dcterms:created>
  <dcterms:modified xsi:type="dcterms:W3CDTF">2023-01-11T11:56:12Z</dcterms:modified>
</cp:coreProperties>
</file>